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-5240" yWindow="-22060" windowWidth="38400" windowHeight="21600" tabRatio="500"/>
  </bookViews>
  <sheets>
    <sheet name="Summary" sheetId="5" r:id="rId1"/>
    <sheet name="DropDownMenu" sheetId="6" r:id="rId2"/>
    <sheet name="UValues" sheetId="2" r:id="rId3"/>
    <sheet name="Legend" sheetId="3" r:id="rId4"/>
    <sheet name="OtherStandard" sheetId="7" r:id="rId5"/>
    <sheet name="Revisions" sheetId="4" r:id="rId6"/>
  </sheets>
  <definedNames>
    <definedName name="DeckBoardCoordinatingSize">DropDownMenu!$H$3:$H$6</definedName>
    <definedName name="DeckBoardCoordinatinSize">DropDownMenu!#REF!</definedName>
    <definedName name="ExistingCeilingJoistDepth">DropDownMenu!$B$3:$B$4</definedName>
    <definedName name="ExistingCeilingJoistSpacing">DropDownMenu!$D$3:$D$6</definedName>
    <definedName name="ExistingCeilingJoistWidth">DropDownMenu!$C$3:$C$6</definedName>
    <definedName name="_xlnm.Print_Area" localSheetId="4">OtherStandard!$C$2:$O$24</definedName>
    <definedName name="_xlnm.Print_Area" localSheetId="0">Summary!$B$2:$I$35</definedName>
    <definedName name="_xlnm.Print_Area" localSheetId="2">UValues!$B$2:$Z$113</definedName>
    <definedName name="TopUpIinsulationkvalue">DropDownMenu!$F$3:$F$8</definedName>
    <definedName name="TopUpInsulationRollWidth">DropDownMenu!$G$3:$G$6</definedName>
    <definedName name="TopUpInsulationRollWidth\">DropDownMenu!#REF!</definedName>
    <definedName name="TopUpInsulationThickness">DropDownMenu!$E$3:$E$11</definedName>
    <definedName name="VentilationZoneBelowDeck">DropDownMenu!$I$3:$I$7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7" l="1"/>
  <c r="E10" i="7"/>
  <c r="E16" i="7"/>
  <c r="F32" i="5"/>
  <c r="F33" i="5"/>
  <c r="F12" i="7"/>
  <c r="H12" i="7"/>
  <c r="F11" i="7"/>
  <c r="H11" i="7"/>
  <c r="F10" i="7"/>
  <c r="G10" i="7"/>
  <c r="H10" i="7"/>
  <c r="F9" i="7"/>
  <c r="H9" i="7"/>
  <c r="L9" i="7"/>
  <c r="I10" i="7"/>
  <c r="K10" i="7"/>
  <c r="L10" i="7"/>
  <c r="J11" i="7"/>
  <c r="K11" i="7"/>
  <c r="L11" i="7"/>
  <c r="L12" i="7"/>
  <c r="L7" i="7"/>
  <c r="L8" i="7"/>
  <c r="L13" i="7"/>
  <c r="L14" i="7"/>
  <c r="M15" i="7"/>
  <c r="H14" i="7"/>
  <c r="F25" i="5"/>
  <c r="F26" i="5"/>
  <c r="F27" i="5"/>
  <c r="F28" i="5"/>
  <c r="F29" i="5"/>
  <c r="F30" i="5"/>
  <c r="F31" i="5"/>
  <c r="Q102" i="2"/>
  <c r="Q104" i="2"/>
  <c r="P102" i="2"/>
  <c r="P103" i="2"/>
  <c r="Q103" i="2"/>
  <c r="I103" i="2"/>
  <c r="I102" i="2"/>
  <c r="P106" i="2"/>
  <c r="P105" i="2"/>
  <c r="P104" i="2"/>
  <c r="P59" i="2"/>
  <c r="Q59" i="2"/>
  <c r="Q100" i="2"/>
  <c r="P71" i="2"/>
  <c r="P100" i="2"/>
  <c r="P73" i="2"/>
  <c r="P90" i="2"/>
  <c r="P89" i="2"/>
  <c r="P88" i="2"/>
  <c r="Q71" i="2"/>
  <c r="Q86" i="2"/>
  <c r="P86" i="2"/>
  <c r="Q76" i="2"/>
  <c r="Q73" i="2"/>
  <c r="Q75" i="2"/>
  <c r="Q74" i="2"/>
  <c r="P76" i="2"/>
  <c r="P75" i="2"/>
  <c r="P74" i="2"/>
  <c r="P60" i="2"/>
  <c r="P61" i="2"/>
  <c r="I49" i="2"/>
  <c r="K49" i="2"/>
  <c r="P48" i="2"/>
  <c r="P18" i="2"/>
  <c r="P17" i="2"/>
  <c r="P37" i="2"/>
  <c r="P27" i="2"/>
  <c r="G72" i="2"/>
  <c r="G101" i="2"/>
  <c r="G87" i="2"/>
  <c r="E17" i="2"/>
  <c r="E18" i="2"/>
  <c r="E92" i="2"/>
  <c r="E76" i="2"/>
  <c r="F76" i="2"/>
  <c r="H76" i="2"/>
  <c r="E78" i="2"/>
  <c r="E49" i="2"/>
  <c r="E61" i="2"/>
  <c r="M61" i="2"/>
  <c r="E63" i="2"/>
  <c r="M49" i="2"/>
  <c r="E51" i="2"/>
  <c r="E38" i="2"/>
  <c r="E28" i="2"/>
  <c r="E8" i="5"/>
  <c r="E9" i="5"/>
  <c r="C12" i="5"/>
  <c r="F12" i="5"/>
  <c r="E10" i="5"/>
  <c r="E6" i="5"/>
  <c r="E5" i="5"/>
  <c r="E3" i="5"/>
  <c r="E4" i="5"/>
  <c r="F17" i="2"/>
  <c r="G17" i="2"/>
  <c r="H17" i="2"/>
  <c r="I18" i="2"/>
  <c r="I17" i="2"/>
  <c r="S17" i="2"/>
  <c r="T17" i="2"/>
  <c r="F18" i="2"/>
  <c r="G18" i="2"/>
  <c r="H18" i="2"/>
  <c r="S18" i="2"/>
  <c r="T18" i="2"/>
  <c r="H15" i="2"/>
  <c r="T15" i="2"/>
  <c r="H16" i="2"/>
  <c r="T16" i="2"/>
  <c r="F19" i="2"/>
  <c r="G19" i="2"/>
  <c r="H19" i="2"/>
  <c r="T19" i="2"/>
  <c r="H20" i="2"/>
  <c r="T20" i="2"/>
  <c r="T21" i="2"/>
  <c r="U22" i="2"/>
  <c r="W22" i="2"/>
  <c r="F15" i="5"/>
  <c r="G15" i="5"/>
  <c r="E27" i="2"/>
  <c r="F27" i="2"/>
  <c r="G27" i="2"/>
  <c r="H27" i="2"/>
  <c r="I27" i="2"/>
  <c r="S27" i="2"/>
  <c r="T27" i="2"/>
  <c r="F28" i="2"/>
  <c r="G28" i="2"/>
  <c r="H28" i="2"/>
  <c r="I28" i="2"/>
  <c r="P28" i="2"/>
  <c r="S28" i="2"/>
  <c r="T28" i="2"/>
  <c r="E26" i="2"/>
  <c r="F26" i="2"/>
  <c r="G26" i="2"/>
  <c r="H26" i="2"/>
  <c r="T26" i="2"/>
  <c r="H24" i="2"/>
  <c r="T24" i="2"/>
  <c r="H25" i="2"/>
  <c r="T25" i="2"/>
  <c r="E29" i="2"/>
  <c r="F29" i="2"/>
  <c r="G29" i="2"/>
  <c r="H29" i="2"/>
  <c r="T29" i="2"/>
  <c r="H30" i="2"/>
  <c r="T30" i="2"/>
  <c r="T31" i="2"/>
  <c r="U32" i="2"/>
  <c r="W32" i="2"/>
  <c r="F16" i="5"/>
  <c r="G16" i="5"/>
  <c r="G37" i="2"/>
  <c r="G36" i="2"/>
  <c r="F36" i="2"/>
  <c r="H36" i="2"/>
  <c r="T36" i="2"/>
  <c r="E37" i="2"/>
  <c r="F37" i="2"/>
  <c r="H37" i="2"/>
  <c r="I37" i="2"/>
  <c r="S37" i="2"/>
  <c r="T37" i="2"/>
  <c r="F38" i="2"/>
  <c r="G38" i="2"/>
  <c r="H38" i="2"/>
  <c r="I38" i="2"/>
  <c r="P38" i="2"/>
  <c r="S38" i="2"/>
  <c r="T38" i="2"/>
  <c r="H34" i="2"/>
  <c r="T34" i="2"/>
  <c r="H35" i="2"/>
  <c r="T35" i="2"/>
  <c r="E39" i="2"/>
  <c r="F39" i="2"/>
  <c r="G39" i="2"/>
  <c r="H39" i="2"/>
  <c r="T39" i="2"/>
  <c r="H40" i="2"/>
  <c r="T40" i="2"/>
  <c r="T41" i="2"/>
  <c r="U42" i="2"/>
  <c r="W42" i="2"/>
  <c r="F17" i="5"/>
  <c r="G17" i="5"/>
  <c r="E50" i="2"/>
  <c r="F50" i="2"/>
  <c r="G50" i="2"/>
  <c r="H50" i="2"/>
  <c r="I50" i="2"/>
  <c r="P50" i="2"/>
  <c r="S50" i="2"/>
  <c r="T50" i="2"/>
  <c r="F51" i="2"/>
  <c r="G51" i="2"/>
  <c r="H51" i="2"/>
  <c r="I51" i="2"/>
  <c r="P51" i="2"/>
  <c r="S51" i="2"/>
  <c r="T51" i="2"/>
  <c r="E47" i="2"/>
  <c r="E48" i="2"/>
  <c r="F48" i="2"/>
  <c r="G48" i="2"/>
  <c r="H48" i="2"/>
  <c r="R48" i="2"/>
  <c r="O48" i="2"/>
  <c r="S48" i="2"/>
  <c r="T48" i="2"/>
  <c r="F49" i="2"/>
  <c r="G49" i="2"/>
  <c r="H49" i="2"/>
  <c r="P49" i="2"/>
  <c r="Q49" i="2"/>
  <c r="R49" i="2"/>
  <c r="O49" i="2"/>
  <c r="S49" i="2"/>
  <c r="T49" i="2"/>
  <c r="F47" i="2"/>
  <c r="H47" i="2"/>
  <c r="T47" i="2"/>
  <c r="F46" i="2"/>
  <c r="G46" i="2"/>
  <c r="H46" i="2"/>
  <c r="T46" i="2"/>
  <c r="E52" i="2"/>
  <c r="F52" i="2"/>
  <c r="G52" i="2"/>
  <c r="H52" i="2"/>
  <c r="T52" i="2"/>
  <c r="H44" i="2"/>
  <c r="T44" i="2"/>
  <c r="H45" i="2"/>
  <c r="T45" i="2"/>
  <c r="H53" i="2"/>
  <c r="T53" i="2"/>
  <c r="T54" i="2"/>
  <c r="U55" i="2"/>
  <c r="W55" i="2"/>
  <c r="F18" i="5"/>
  <c r="G18" i="5"/>
  <c r="E62" i="2"/>
  <c r="F62" i="2"/>
  <c r="G62" i="2"/>
  <c r="H62" i="2"/>
  <c r="I62" i="2"/>
  <c r="P62" i="2"/>
  <c r="S62" i="2"/>
  <c r="T62" i="2"/>
  <c r="F63" i="2"/>
  <c r="G63" i="2"/>
  <c r="H63" i="2"/>
  <c r="I63" i="2"/>
  <c r="P63" i="2"/>
  <c r="S63" i="2"/>
  <c r="T63" i="2"/>
  <c r="E60" i="2"/>
  <c r="F60" i="2"/>
  <c r="G60" i="2"/>
  <c r="H60" i="2"/>
  <c r="S60" i="2"/>
  <c r="T60" i="2"/>
  <c r="F61" i="2"/>
  <c r="G61" i="2"/>
  <c r="H61" i="2"/>
  <c r="I61" i="2"/>
  <c r="K61" i="2"/>
  <c r="O61" i="2"/>
  <c r="Q61" i="2"/>
  <c r="R61" i="2"/>
  <c r="S61" i="2"/>
  <c r="T61" i="2"/>
  <c r="E59" i="2"/>
  <c r="F59" i="2"/>
  <c r="G59" i="2"/>
  <c r="H59" i="2"/>
  <c r="T59" i="2"/>
  <c r="E64" i="2"/>
  <c r="F64" i="2"/>
  <c r="G64" i="2"/>
  <c r="H64" i="2"/>
  <c r="T64" i="2"/>
  <c r="H57" i="2"/>
  <c r="T57" i="2"/>
  <c r="H58" i="2"/>
  <c r="T58" i="2"/>
  <c r="H65" i="2"/>
  <c r="T65" i="2"/>
  <c r="T66" i="2"/>
  <c r="U67" i="2"/>
  <c r="W67" i="2"/>
  <c r="F19" i="5"/>
  <c r="G19" i="5"/>
  <c r="E77" i="2"/>
  <c r="F77" i="2"/>
  <c r="G77" i="2"/>
  <c r="H77" i="2"/>
  <c r="I77" i="2"/>
  <c r="P77" i="2"/>
  <c r="S77" i="2"/>
  <c r="T77" i="2"/>
  <c r="F78" i="2"/>
  <c r="G78" i="2"/>
  <c r="H78" i="2"/>
  <c r="I78" i="2"/>
  <c r="P78" i="2"/>
  <c r="S78" i="2"/>
  <c r="T78" i="2"/>
  <c r="E73" i="2"/>
  <c r="E72" i="2"/>
  <c r="F72" i="2"/>
  <c r="H72" i="2"/>
  <c r="T72" i="2"/>
  <c r="F73" i="2"/>
  <c r="G73" i="2"/>
  <c r="H73" i="2"/>
  <c r="R73" i="2"/>
  <c r="O74" i="2"/>
  <c r="I75" i="2"/>
  <c r="M75" i="2"/>
  <c r="K75" i="2"/>
  <c r="O75" i="2"/>
  <c r="I76" i="2"/>
  <c r="K76" i="2"/>
  <c r="N76" i="2"/>
  <c r="O76" i="2"/>
  <c r="O73" i="2"/>
  <c r="S73" i="2"/>
  <c r="T73" i="2"/>
  <c r="R74" i="2"/>
  <c r="S74" i="2"/>
  <c r="F74" i="2"/>
  <c r="H74" i="2"/>
  <c r="T74" i="2"/>
  <c r="R75" i="2"/>
  <c r="S75" i="2"/>
  <c r="E75" i="2"/>
  <c r="F75" i="2"/>
  <c r="G75" i="2"/>
  <c r="H75" i="2"/>
  <c r="T75" i="2"/>
  <c r="R76" i="2"/>
  <c r="S76" i="2"/>
  <c r="T76" i="2"/>
  <c r="E71" i="2"/>
  <c r="F71" i="2"/>
  <c r="G71" i="2"/>
  <c r="H71" i="2"/>
  <c r="T71" i="2"/>
  <c r="E79" i="2"/>
  <c r="F79" i="2"/>
  <c r="G79" i="2"/>
  <c r="H79" i="2"/>
  <c r="T79" i="2"/>
  <c r="H69" i="2"/>
  <c r="T69" i="2"/>
  <c r="H70" i="2"/>
  <c r="T70" i="2"/>
  <c r="H80" i="2"/>
  <c r="T80" i="2"/>
  <c r="T81" i="2"/>
  <c r="U82" i="2"/>
  <c r="W82" i="2"/>
  <c r="F20" i="5"/>
  <c r="G20" i="5"/>
  <c r="E91" i="2"/>
  <c r="F91" i="2"/>
  <c r="G91" i="2"/>
  <c r="H91" i="2"/>
  <c r="I91" i="2"/>
  <c r="P91" i="2"/>
  <c r="S91" i="2"/>
  <c r="T91" i="2"/>
  <c r="F92" i="2"/>
  <c r="G92" i="2"/>
  <c r="H92" i="2"/>
  <c r="I92" i="2"/>
  <c r="P92" i="2"/>
  <c r="S92" i="2"/>
  <c r="T92" i="2"/>
  <c r="E88" i="2"/>
  <c r="E89" i="2"/>
  <c r="E87" i="2"/>
  <c r="F87" i="2"/>
  <c r="H87" i="2"/>
  <c r="T87" i="2"/>
  <c r="F88" i="2"/>
  <c r="G88" i="2"/>
  <c r="H88" i="2"/>
  <c r="Q88" i="2"/>
  <c r="R88" i="2"/>
  <c r="M89" i="2"/>
  <c r="J89" i="2"/>
  <c r="K89" i="2"/>
  <c r="L89" i="2"/>
  <c r="N89" i="2"/>
  <c r="I89" i="2"/>
  <c r="O89" i="2"/>
  <c r="M90" i="2"/>
  <c r="J90" i="2"/>
  <c r="K90" i="2"/>
  <c r="L90" i="2"/>
  <c r="N90" i="2"/>
  <c r="I90" i="2"/>
  <c r="O90" i="2"/>
  <c r="O88" i="2"/>
  <c r="S88" i="2"/>
  <c r="T88" i="2"/>
  <c r="Q89" i="2"/>
  <c r="R89" i="2"/>
  <c r="S89" i="2"/>
  <c r="F89" i="2"/>
  <c r="G89" i="2"/>
  <c r="H89" i="2"/>
  <c r="T89" i="2"/>
  <c r="Q90" i="2"/>
  <c r="R90" i="2"/>
  <c r="S90" i="2"/>
  <c r="E90" i="2"/>
  <c r="F90" i="2"/>
  <c r="G90" i="2"/>
  <c r="H90" i="2"/>
  <c r="T90" i="2"/>
  <c r="E86" i="2"/>
  <c r="F86" i="2"/>
  <c r="G86" i="2"/>
  <c r="H86" i="2"/>
  <c r="T86" i="2"/>
  <c r="E93" i="2"/>
  <c r="F93" i="2"/>
  <c r="G93" i="2"/>
  <c r="H93" i="2"/>
  <c r="T93" i="2"/>
  <c r="H84" i="2"/>
  <c r="T84" i="2"/>
  <c r="H85" i="2"/>
  <c r="T85" i="2"/>
  <c r="H94" i="2"/>
  <c r="T94" i="2"/>
  <c r="T95" i="2"/>
  <c r="U96" i="2"/>
  <c r="W96" i="2"/>
  <c r="F21" i="5"/>
  <c r="G21" i="5"/>
  <c r="E108" i="2"/>
  <c r="E107" i="2"/>
  <c r="F107" i="2"/>
  <c r="G107" i="2"/>
  <c r="H107" i="2"/>
  <c r="I107" i="2"/>
  <c r="P107" i="2"/>
  <c r="S107" i="2"/>
  <c r="T107" i="2"/>
  <c r="F108" i="2"/>
  <c r="G108" i="2"/>
  <c r="H108" i="2"/>
  <c r="I108" i="2"/>
  <c r="P108" i="2"/>
  <c r="S108" i="2"/>
  <c r="T108" i="2"/>
  <c r="E102" i="2"/>
  <c r="E104" i="2"/>
  <c r="E101" i="2"/>
  <c r="F101" i="2"/>
  <c r="H101" i="2"/>
  <c r="T101" i="2"/>
  <c r="F102" i="2"/>
  <c r="G102" i="2"/>
  <c r="H102" i="2"/>
  <c r="R102" i="2"/>
  <c r="K103" i="2"/>
  <c r="O103" i="2"/>
  <c r="I104" i="2"/>
  <c r="M104" i="2"/>
  <c r="J104" i="2"/>
  <c r="K104" i="2"/>
  <c r="L104" i="2"/>
  <c r="N104" i="2"/>
  <c r="O104" i="2"/>
  <c r="I105" i="2"/>
  <c r="M105" i="2"/>
  <c r="J105" i="2"/>
  <c r="K105" i="2"/>
  <c r="L105" i="2"/>
  <c r="N105" i="2"/>
  <c r="O105" i="2"/>
  <c r="I106" i="2"/>
  <c r="K106" i="2"/>
  <c r="N106" i="2"/>
  <c r="O106" i="2"/>
  <c r="O102" i="2"/>
  <c r="S102" i="2"/>
  <c r="T102" i="2"/>
  <c r="R104" i="2"/>
  <c r="S104" i="2"/>
  <c r="F104" i="2"/>
  <c r="G104" i="2"/>
  <c r="H104" i="2"/>
  <c r="T104" i="2"/>
  <c r="Q105" i="2"/>
  <c r="R105" i="2"/>
  <c r="S105" i="2"/>
  <c r="E105" i="2"/>
  <c r="F105" i="2"/>
  <c r="G105" i="2"/>
  <c r="H105" i="2"/>
  <c r="T105" i="2"/>
  <c r="Q106" i="2"/>
  <c r="R106" i="2"/>
  <c r="S106" i="2"/>
  <c r="E106" i="2"/>
  <c r="F106" i="2"/>
  <c r="G106" i="2"/>
  <c r="H106" i="2"/>
  <c r="T106" i="2"/>
  <c r="R103" i="2"/>
  <c r="S103" i="2"/>
  <c r="F103" i="2"/>
  <c r="G103" i="2"/>
  <c r="H103" i="2"/>
  <c r="T103" i="2"/>
  <c r="E100" i="2"/>
  <c r="F100" i="2"/>
  <c r="G100" i="2"/>
  <c r="H100" i="2"/>
  <c r="T100" i="2"/>
  <c r="E109" i="2"/>
  <c r="F109" i="2"/>
  <c r="G109" i="2"/>
  <c r="H109" i="2"/>
  <c r="T109" i="2"/>
  <c r="H98" i="2"/>
  <c r="T98" i="2"/>
  <c r="H99" i="2"/>
  <c r="T99" i="2"/>
  <c r="H110" i="2"/>
  <c r="T110" i="2"/>
  <c r="T111" i="2"/>
  <c r="U112" i="2"/>
  <c r="W112" i="2"/>
  <c r="F22" i="5"/>
  <c r="G22" i="5"/>
  <c r="E9" i="2"/>
  <c r="F9" i="2"/>
  <c r="H9" i="2"/>
  <c r="I9" i="2"/>
  <c r="P9" i="2"/>
  <c r="S9" i="2"/>
  <c r="T9" i="2"/>
  <c r="T7" i="2"/>
  <c r="T8" i="2"/>
  <c r="E10" i="2"/>
  <c r="F10" i="2"/>
  <c r="H10" i="2"/>
  <c r="T10" i="2"/>
  <c r="T11" i="2"/>
  <c r="T12" i="2"/>
  <c r="U13" i="2"/>
  <c r="W13" i="2"/>
  <c r="F14" i="5"/>
  <c r="G14" i="5"/>
  <c r="V22" i="2"/>
  <c r="C15" i="5"/>
  <c r="D15" i="5"/>
  <c r="V32" i="2"/>
  <c r="C16" i="5"/>
  <c r="D16" i="5"/>
  <c r="V42" i="2"/>
  <c r="C17" i="5"/>
  <c r="D17" i="5"/>
  <c r="V55" i="2"/>
  <c r="C18" i="5"/>
  <c r="D18" i="5"/>
  <c r="V67" i="2"/>
  <c r="C19" i="5"/>
  <c r="D19" i="5"/>
  <c r="V82" i="2"/>
  <c r="C20" i="5"/>
  <c r="D20" i="5"/>
  <c r="V96" i="2"/>
  <c r="C21" i="5"/>
  <c r="D21" i="5"/>
  <c r="V112" i="2"/>
  <c r="C22" i="5"/>
  <c r="D22" i="5"/>
  <c r="V13" i="2"/>
  <c r="C14" i="5"/>
  <c r="D14" i="5"/>
  <c r="B16" i="5"/>
  <c r="B19" i="5"/>
  <c r="I73" i="2"/>
  <c r="K88" i="2"/>
  <c r="I88" i="2"/>
  <c r="K73" i="2"/>
  <c r="H95" i="2"/>
  <c r="X96" i="2"/>
  <c r="E21" i="5"/>
  <c r="Y96" i="2"/>
  <c r="H21" i="5"/>
  <c r="B21" i="5"/>
  <c r="D92" i="2"/>
  <c r="K102" i="2"/>
  <c r="H12" i="2"/>
  <c r="X13" i="2"/>
  <c r="E14" i="5"/>
  <c r="Y13" i="2"/>
  <c r="H14" i="5"/>
  <c r="B14" i="5"/>
  <c r="D9" i="2"/>
  <c r="H111" i="2"/>
  <c r="Y112" i="2"/>
  <c r="H22" i="5"/>
  <c r="H81" i="2"/>
  <c r="Y82" i="2"/>
  <c r="H20" i="5"/>
  <c r="H66" i="2"/>
  <c r="Y67" i="2"/>
  <c r="H19" i="5"/>
  <c r="H54" i="2"/>
  <c r="Y55" i="2"/>
  <c r="H18" i="5"/>
  <c r="H41" i="2"/>
  <c r="Y42" i="2"/>
  <c r="H17" i="5"/>
  <c r="X112" i="2"/>
  <c r="E22" i="5"/>
  <c r="X82" i="2"/>
  <c r="E20" i="5"/>
  <c r="X67" i="2"/>
  <c r="E19" i="5"/>
  <c r="X55" i="2"/>
  <c r="E18" i="5"/>
  <c r="X42" i="2"/>
  <c r="E17" i="5"/>
  <c r="H31" i="2"/>
  <c r="X32" i="2"/>
  <c r="E16" i="5"/>
  <c r="Y32" i="2"/>
  <c r="H16" i="5"/>
  <c r="H21" i="2"/>
  <c r="Y22" i="2"/>
  <c r="H15" i="5"/>
  <c r="X22" i="2"/>
  <c r="E15" i="5"/>
  <c r="B22" i="5"/>
  <c r="B20" i="5"/>
  <c r="F11" i="5"/>
  <c r="E11" i="5"/>
  <c r="H11" i="5"/>
  <c r="F13" i="5"/>
  <c r="C13" i="5"/>
  <c r="C11" i="5"/>
  <c r="B15" i="5"/>
  <c r="B18" i="5"/>
  <c r="B17" i="5"/>
  <c r="B2" i="5"/>
  <c r="D108" i="2"/>
  <c r="D63" i="2"/>
  <c r="D78" i="2"/>
  <c r="D51" i="2"/>
  <c r="D38" i="2"/>
  <c r="D28" i="2"/>
</calcChain>
</file>

<file path=xl/sharedStrings.xml><?xml version="1.0" encoding="utf-8"?>
<sst xmlns="http://schemas.openxmlformats.org/spreadsheetml/2006/main" count="795" uniqueCount="272">
  <si>
    <t>Material</t>
  </si>
  <si>
    <t>Softwood framing</t>
  </si>
  <si>
    <t>W/m.K</t>
  </si>
  <si>
    <t>internal surface</t>
  </si>
  <si>
    <t>external surface</t>
  </si>
  <si>
    <t>Thermal Conductivity</t>
  </si>
  <si>
    <t>Thermal Resistance</t>
  </si>
  <si>
    <t>Layer</t>
  </si>
  <si>
    <t>plasterboard</t>
  </si>
  <si>
    <t>-</t>
  </si>
  <si>
    <t>Fraction Area</t>
  </si>
  <si>
    <t>Width</t>
  </si>
  <si>
    <t>Thickness mm</t>
  </si>
  <si>
    <t>thickness meters</t>
  </si>
  <si>
    <t>Uvalue</t>
  </si>
  <si>
    <t>Total</t>
  </si>
  <si>
    <t>depth</t>
  </si>
  <si>
    <t>area</t>
  </si>
  <si>
    <t>Spacing x</t>
  </si>
  <si>
    <t>Spacing y</t>
  </si>
  <si>
    <t>thickness</t>
  </si>
  <si>
    <t xml:space="preserve">quantity </t>
  </si>
  <si>
    <t>Quantity</t>
  </si>
  <si>
    <t>branches quantity</t>
  </si>
  <si>
    <t>Roof space beneath tiled roof with felt or board</t>
  </si>
  <si>
    <t>Vapour check membrane</t>
  </si>
  <si>
    <t>Ventilated Airspace below decking</t>
  </si>
  <si>
    <t>W/m2.K</t>
  </si>
  <si>
    <t>m2.K/W</t>
  </si>
  <si>
    <t>32 x 75</t>
  </si>
  <si>
    <t>32 x 100</t>
  </si>
  <si>
    <t>Record your requirements here</t>
  </si>
  <si>
    <t xml:space="preserve">These cells are calculated from the figures provided in green cells </t>
  </si>
  <si>
    <t xml:space="preserve">Other cells also calculated </t>
  </si>
  <si>
    <t>Red text is readily available information that could be improved</t>
  </si>
  <si>
    <t>Red Text</t>
  </si>
  <si>
    <t>Rev</t>
  </si>
  <si>
    <t>Comments</t>
  </si>
  <si>
    <t>Author</t>
  </si>
  <si>
    <t>Organisation</t>
  </si>
  <si>
    <t>Date</t>
  </si>
  <si>
    <t>Work sheet</t>
  </si>
  <si>
    <t>File name</t>
  </si>
  <si>
    <t>GBE</t>
  </si>
  <si>
    <t>BRM</t>
  </si>
  <si>
    <t>A00</t>
  </si>
  <si>
    <t>Created file from scratch</t>
  </si>
  <si>
    <t>Uvalues</t>
  </si>
  <si>
    <t>Legend</t>
  </si>
  <si>
    <t>Added Legend</t>
  </si>
  <si>
    <t>Added Revisions</t>
  </si>
  <si>
    <t>Revisions</t>
  </si>
  <si>
    <t>GBE Calculator LoftZoneStoreFloor ThermalBridge.xlsx</t>
  </si>
  <si>
    <t>Source for some data: BRE Examples of U-value calculations using BS EN ISO 6946:1997</t>
  </si>
  <si>
    <t>Dec 99/June 2000</t>
  </si>
  <si>
    <t>BRE Scotland</t>
  </si>
  <si>
    <t>Thermal Bridges</t>
  </si>
  <si>
    <t>Deleted Thermal bridges</t>
  </si>
  <si>
    <t>Updated added U values</t>
  </si>
  <si>
    <t>Source for some data: CAPEM Generic Materials Schedules</t>
  </si>
  <si>
    <t>Issues</t>
  </si>
  <si>
    <t>Issue PDF to LoftZone</t>
  </si>
  <si>
    <t>LoftZone</t>
  </si>
  <si>
    <t>Dave Ravel</t>
  </si>
  <si>
    <t>GBE Calculator LoftZoneStoreFloor ThermalBridge A00BRM141016.xlsx</t>
  </si>
  <si>
    <t>Issue to</t>
  </si>
  <si>
    <t>GBE Calculator Thermal Bridge LoftZoneStoreFloor</t>
  </si>
  <si>
    <t>With top-up insulation above joists</t>
  </si>
  <si>
    <t>Existing roof insulated between joists</t>
  </si>
  <si>
    <t>Added summary worksheet for CPD PPTX</t>
  </si>
  <si>
    <t>Summary</t>
  </si>
  <si>
    <t>A01 %%%</t>
  </si>
  <si>
    <t>Added NPL figures to column Z</t>
  </si>
  <si>
    <t>UValues</t>
  </si>
  <si>
    <t>1:x</t>
  </si>
  <si>
    <t>mm</t>
  </si>
  <si>
    <t>Notes</t>
  </si>
  <si>
    <t>Ventilation zone below decking</t>
  </si>
  <si>
    <t>With timber framing, deck, ventilation gap and top-up insulation</t>
  </si>
  <si>
    <t>Joist depth</t>
  </si>
  <si>
    <t>75 mm</t>
  </si>
  <si>
    <t>100 mm</t>
  </si>
  <si>
    <t>Existing Joist depth (mm)</t>
  </si>
  <si>
    <t>U value</t>
  </si>
  <si>
    <t>Thermal bridge modification factor</t>
  </si>
  <si>
    <t>Existing roof no insulation between ceiling joists</t>
  </si>
  <si>
    <t>0.044 (from Loftzone CPD) could be 0.038 batt or 0.042 quilt (BRE Guide to BS 6964)</t>
  </si>
  <si>
    <t xml:space="preserve">Unless noted otherwise data from BRE Guide to BS EN ISO 6964 </t>
  </si>
  <si>
    <t>NPL multiplying factors: 270mm reduced to 100mm = 200%</t>
  </si>
  <si>
    <t>NPL multiplying factors: 270mm reduced to 75mm = 240%</t>
  </si>
  <si>
    <t>from Summary worksheet</t>
  </si>
  <si>
    <t>BRE Guide to BS EN ISO 6964 Appendix table 1</t>
  </si>
  <si>
    <t>BRE Guide to BS EN ISO 6964 Appendix table 5</t>
  </si>
  <si>
    <t>Required to achieve 50 mm gap</t>
  </si>
  <si>
    <t>From Summary sheet; BRE Guide to BS EN ISO 6964 Appendix table 2</t>
  </si>
  <si>
    <t>R = 3.09</t>
  </si>
  <si>
    <t>U = 0.3236</t>
  </si>
  <si>
    <t>NPL test example does not match these R calculations</t>
  </si>
  <si>
    <t>U = 0.1637</t>
  </si>
  <si>
    <t>R = 6.11</t>
  </si>
  <si>
    <t>From Summary sheet</t>
  </si>
  <si>
    <t>Reworked the cells linking to Summery sheet</t>
  </si>
  <si>
    <t>corrected deck from 40 to 18 mm</t>
  </si>
  <si>
    <t>Reworked the cells linking within Uvalue</t>
  </si>
  <si>
    <t>Added notes column, confirmed data sources and confirmed/updated figues included</t>
  </si>
  <si>
    <t>Added options cells to top of Summary sheet</t>
  </si>
  <si>
    <t>Updated links from Uvalues to Summary sheet</t>
  </si>
  <si>
    <t>Updated static figures in UValues</t>
  </si>
  <si>
    <t>Existing ceiling Joist depth (75, 100 only working options)</t>
  </si>
  <si>
    <t>Complete</t>
  </si>
  <si>
    <t>Added uninsulated ceiling to Summary</t>
  </si>
  <si>
    <t>Added uninsulated ceiling to Uvalues</t>
  </si>
  <si>
    <t>Manufacturer's samples; BRE Guide to BS EN ISO 6964 Appendix table 2</t>
  </si>
  <si>
    <t>Manufacturer's samples; k value previously from GreenSpec: Polypropylene</t>
  </si>
  <si>
    <t>H section triangular plastic support</t>
  </si>
  <si>
    <t>H section straight plastic support</t>
  </si>
  <si>
    <t>Ventilation airspace withing support H section</t>
  </si>
  <si>
    <t>Added new assembly 7 (7 went to 8) splitting BRE and GBE view of thermal bridge</t>
  </si>
  <si>
    <t>Updated summary with new asembly 7</t>
  </si>
  <si>
    <t>Ignoring heat loss up H section has significant difference from GBE approach</t>
  </si>
  <si>
    <t>Taking account of heat loss up H section makes a significant difference from BRE approach</t>
  </si>
  <si>
    <t>mineral fibre quilt thermal conduction insulation between joists</t>
  </si>
  <si>
    <t>continuous layer of thermal conduction insulation mineral fibre quilt</t>
  </si>
  <si>
    <t>continuous layer of thermal conduction insulation mineral fibre quilt around framing</t>
  </si>
  <si>
    <t>continuous layer of thermal conduction insulation mineral fibre quilt between joist</t>
  </si>
  <si>
    <t>Added GBE BEST: critique of elemental assesmblies</t>
  </si>
  <si>
    <t>GBE BEST: Pitched Roof: -No thermal conduction insulation, -low thermal mass, -no solar heat protection, -poor acoustic protection, -no safe access, -no storage provision</t>
  </si>
  <si>
    <t>GBE BEST: Pitched Roof: -Inadequate thermal conduction insulation, -low thermal mass, -no solar protection, -poor acoustic protection, -no safe access, -no storage provision</t>
  </si>
  <si>
    <t>GBE BEST: Pitched Roof: +Improved under deck ventilation, +low risk of condensation, -low termal mass, -no solar protection, -poor acoustic protection, +safe access provision, +storage provision, -thermal bypass inside support H profiles</t>
  </si>
  <si>
    <t>GBE BEST: Pitched Roof: -Insulation performance destroyed, -low thermal mass, -no solar protection, -poor acoustic protection, +safe access provision, +storage provision, -thermal bridge through insulation via timber joist</t>
  </si>
  <si>
    <t>GBE BEST: Pitched Roof: +Improved ventilation, +low risk of condensation, -low thermal mass, -no solar protection, -poor acoustic protection, +safe access provision, +storage provision, -thermal bridge through insulation via timber framing</t>
  </si>
  <si>
    <t>Base line for improvement below</t>
  </si>
  <si>
    <t>With compressed insulation above and between joists</t>
  </si>
  <si>
    <t>continuous layer of compressed thermal conduction insulation mineral fibre quilt</t>
  </si>
  <si>
    <t>compressed mineral fibre quilt thermal conduction insulation between joists</t>
  </si>
  <si>
    <t>flooring grade timber panel decking</t>
  </si>
  <si>
    <t>with LoftZone StoreFloor, deck, under deck vent gap and gappy top-up insulation</t>
  </si>
  <si>
    <t>Gappy thermal conduction insulation mineral fibre quilt between supports</t>
  </si>
  <si>
    <t>GBE BEST: Pitched Roof: -Reduced under deck ventilation, -low risk of condensation, -low thermal mass, -no solar protection, -poor acoustic protection, +safe access provision, +storage provision, -thermal bypass inside support H profiles, -dimensional coordination mismatch, -thermal bypass through gappy insulation</t>
  </si>
  <si>
    <t>Consider poured/blown-in insulation e.g. cellulose fibre flake (recycled newspaper)</t>
  </si>
  <si>
    <t>with LoftZone StoreFloor, deck, under deck vent gap and top-up insulation (GBE)</t>
  </si>
  <si>
    <t>with LoftZone StoreFloor, deck, under deck vent gap and top-up insulation (BRE)</t>
  </si>
  <si>
    <t>GBE BEST: Pitched Roof: -Reduced under deck ventilation, -low risk of condensation, -low thermal mass, -no solar protection, -poor acoustic protection, +safe access provision, +storage provision, -thermal bypass inside support H profiles (ingored by claculation)</t>
  </si>
  <si>
    <t>Top-up insulation roll width (570, 600)</t>
  </si>
  <si>
    <t>With timber joist, deck, no under deck vent gap and top-up insulation</t>
  </si>
  <si>
    <t>50 x 50 @600</t>
  </si>
  <si>
    <t>50 x 50 @ 600</t>
  </si>
  <si>
    <t>250 x 50 @ 600</t>
  </si>
  <si>
    <t>50 wide x depth to match top up insulation, softwood joist bearing on existing joist</t>
  </si>
  <si>
    <t xml:space="preserve">Deck board width (610 mm) modules puts supoorts at 610 mm and 600 mm insulation makes 10 mm gaps </t>
  </si>
  <si>
    <t>26 mm ventilation gap is less than 50 recommended by BRE (but see BRE letter)</t>
  </si>
  <si>
    <t>Multiples of 610 mm</t>
  </si>
  <si>
    <r>
      <t xml:space="preserve">GBE BEST: Pitched Roof: -risk of condensation below deck in insulation, </t>
    </r>
    <r>
      <rPr>
        <b/>
        <sz val="12"/>
        <color rgb="FFFF0000"/>
        <rFont val="Calibri"/>
        <scheme val="minor"/>
      </rPr>
      <t>AVOID THIS DETAIL</t>
    </r>
    <r>
      <rPr>
        <sz val="12"/>
        <rFont val="Calibri"/>
        <scheme val="minor"/>
      </rPr>
      <t>, -low termal mass, -no solar protection, -poor acoustic protection, +safe access provision, +storage provision, -thermal bridge through insulation via timber joist</t>
    </r>
  </si>
  <si>
    <r>
      <rPr>
        <sz val="12"/>
        <rFont val="Calibri"/>
        <scheme val="minor"/>
      </rPr>
      <t>BRE Guide to BS EN ISO 6964 Appendix table 5</t>
    </r>
  </si>
  <si>
    <t>GBE BEST: Pitched Roof: _Uninsulated, -low thermal mass, -no solar protection, -poor acoustic protection, -no safe access, -no storage provision</t>
  </si>
  <si>
    <r>
      <t xml:space="preserve">BS EN ISO 6964 table 3; </t>
    </r>
    <r>
      <rPr>
        <sz val="12"/>
        <color rgb="FFFF0000"/>
        <rFont val="Calibri"/>
        <family val="2"/>
        <scheme val="minor"/>
      </rPr>
      <t>are the rafters, battens, underlay, tiles included in here? (ditto all below)</t>
    </r>
  </si>
  <si>
    <t>Existing ceiling Joist spacing (300, 400, 450, 600)</t>
  </si>
  <si>
    <t>From Summary worksheet</t>
  </si>
  <si>
    <t>Updated GBE BEST:</t>
  </si>
  <si>
    <t>Final calculation corrections</t>
  </si>
  <si>
    <t>Imperial dimensions for existing spacings</t>
  </si>
  <si>
    <t>1 assembly with component options and extensive IF fucntions</t>
  </si>
  <si>
    <t>Highlighting important issues</t>
  </si>
  <si>
    <t>Ideally print A2 landscape or
 split over 2 A3 portrait or 
split over 4 A4 landscape</t>
  </si>
  <si>
    <t>Print setting out, title, logo</t>
  </si>
  <si>
    <t>Update legend</t>
  </si>
  <si>
    <t>A01</t>
  </si>
  <si>
    <t>Potential future development?</t>
  </si>
  <si>
    <t>File save as</t>
  </si>
  <si>
    <t>GBE Calculator LoftZoneStoreFloor ThermalBridge A01BRM031116.xlsx</t>
  </si>
  <si>
    <t>PDF of Summary and Uvalues</t>
  </si>
  <si>
    <t>Print PDFs</t>
  </si>
  <si>
    <t>File</t>
  </si>
  <si>
    <t>CAPEM WP2 A10 GenericMaterialsProperties Working.xlsx (ExGS Polypropylene)</t>
  </si>
  <si>
    <t>Building Regulations L1A New:  England Wales Northern Ireland</t>
  </si>
  <si>
    <t>Building Regulations L1B Upgrade: England Wales Northern Ireland</t>
  </si>
  <si>
    <t>BBA: Minimum 35 mm</t>
  </si>
  <si>
    <t>BBA: Maximum 230 mm</t>
  </si>
  <si>
    <t>Top-up insulation k value: 
(0.037 in BBA, 0.038 batt or 0.042 quilt in ISO 6924, 0.044 in CPD)</t>
  </si>
  <si>
    <t>32 x 75 timber joists at 600 mm centres</t>
  </si>
  <si>
    <t>ExistingCeilingJoistDepth</t>
  </si>
  <si>
    <t>Existing ceiling Joist width (32, 35, 38, 50, etc.)</t>
  </si>
  <si>
    <t>ExistingCeilingJoistWidth</t>
  </si>
  <si>
    <t>ExistingCeilingJoistSpacing</t>
  </si>
  <si>
    <t>TopUpInsulationThickness</t>
  </si>
  <si>
    <t>Other: choose blank and type</t>
  </si>
  <si>
    <t>Other: shoose blank and type</t>
  </si>
  <si>
    <t>A02 %%%</t>
  </si>
  <si>
    <t>Add Drop Down Menus and link</t>
  </si>
  <si>
    <t>DropDownMenu</t>
  </si>
  <si>
    <t>Build Drop Down Menu into Summary</t>
  </si>
  <si>
    <t>BBA: Minimum 100 mm; Mnimum 0.25 kN/m2</t>
  </si>
  <si>
    <t>TopUpIinsulationkvalue</t>
  </si>
  <si>
    <t>Pass/Fail</t>
  </si>
  <si>
    <t>Pass/Fail/
Check Schedule/
Ignore</t>
  </si>
  <si>
    <t>Check schedule below if it meets U Value</t>
  </si>
  <si>
    <t>TopUpInsulationRollWidth</t>
  </si>
  <si>
    <t>Imperial sizes could be added</t>
  </si>
  <si>
    <t>BBA: refers to 0.037 W/m.K as a complient option</t>
  </si>
  <si>
    <r>
      <t xml:space="preserve">Should be history: </t>
    </r>
    <r>
      <rPr>
        <sz val="12"/>
        <color rgb="FFFF0000"/>
        <rFont val="Calibri"/>
        <family val="2"/>
        <scheme val="minor"/>
      </rPr>
      <t>to be avoided</t>
    </r>
  </si>
  <si>
    <r>
      <t xml:space="preserve">No access or storage provision: </t>
    </r>
    <r>
      <rPr>
        <sz val="12"/>
        <color rgb="FFFF0000"/>
        <rFont val="Calibri"/>
        <family val="2"/>
        <scheme val="minor"/>
      </rPr>
      <t>to be avoided</t>
    </r>
  </si>
  <si>
    <r>
      <t xml:space="preserve">Insulation compression: </t>
    </r>
    <r>
      <rPr>
        <sz val="12"/>
        <color rgb="FFFF0000"/>
        <rFont val="Calibri"/>
        <family val="2"/>
        <scheme val="minor"/>
      </rPr>
      <t>to be avoided</t>
    </r>
  </si>
  <si>
    <r>
      <t xml:space="preserve">Condensation risk: </t>
    </r>
    <r>
      <rPr>
        <sz val="12"/>
        <color rgb="FFFF0000"/>
        <rFont val="Calibri"/>
        <family val="2"/>
        <scheme val="minor"/>
      </rPr>
      <t>to be avoided</t>
    </r>
  </si>
  <si>
    <t>Good Choice</t>
  </si>
  <si>
    <r>
      <t xml:space="preserve">History: </t>
    </r>
    <r>
      <rPr>
        <sz val="12"/>
        <color rgb="FFFF0000"/>
        <rFont val="Calibri"/>
        <family val="2"/>
        <scheme val="minor"/>
      </rPr>
      <t>to be avoided</t>
    </r>
  </si>
  <si>
    <r>
      <t xml:space="preserve">Thermal flanking through gappy insulation: </t>
    </r>
    <r>
      <rPr>
        <sz val="12"/>
        <color rgb="FFFF0000"/>
        <rFont val="Calibri"/>
        <family val="2"/>
        <scheme val="minor"/>
      </rPr>
      <t>to be avoided</t>
    </r>
  </si>
  <si>
    <t>DeckBoardCoordinatingSize</t>
  </si>
  <si>
    <t>VentilationZoneBelowDeck</t>
  </si>
  <si>
    <t>BBA: Minimum 50 mm: BRE letter permits &gt;29 mm</t>
  </si>
  <si>
    <t>Top-up insulation thickness (100, 150, 170, 200, 230, 250, 270)</t>
  </si>
  <si>
    <t>Technical Standards 6.2 New: Scotland</t>
  </si>
  <si>
    <t>Technical Standards 6.2 Upgrade: Scotland</t>
  </si>
  <si>
    <t>Print PDF</t>
  </si>
  <si>
    <t>GBE Calculator LoftZoneStoreFloor ThermalBridge A02BRM031116.xlsx</t>
  </si>
  <si>
    <t>PDF of Summary</t>
  </si>
  <si>
    <t>A02</t>
  </si>
  <si>
    <t>Comments:</t>
  </si>
  <si>
    <t>Notes: 
BBA compliance meets EU Construction Products Directive
BBA compliance meets Building Regulation 7 'Proper Material'
BCO may insist on BBA as evidence of a 'Proper Material'
BBA compliance ensures a competent system
Professionals may need BBA compliance to protect PII
BIY or Self-build may need BBA compliance for BCO approval
DIY installations do not need BBA compliance and BCO approval
BBA = British Board of Agrement Certified Product/System
BCO = Building Control Officer
DIY = Do It Yourself
BIY = Build It Yourself (Self-Build)</t>
  </si>
  <si>
    <r>
      <t xml:space="preserve">No longer best practice: </t>
    </r>
    <r>
      <rPr>
        <sz val="12"/>
        <color rgb="FFFF0000"/>
        <rFont val="Calibri"/>
        <family val="2"/>
        <scheme val="minor"/>
      </rPr>
      <t>permitted, but time to move on</t>
    </r>
  </si>
  <si>
    <t>Ventilation zone below deck (50 mm recommended by BRE and BBA)</t>
  </si>
  <si>
    <t>A03 %%%</t>
  </si>
  <si>
    <t>Updated Notes, Comments, Compliance Schedule</t>
  </si>
  <si>
    <t>Feedback from DR @ LZ 04/11/16 emails</t>
  </si>
  <si>
    <t>Rename file</t>
  </si>
  <si>
    <t>GBE Calculator LoftZoneStoreFloorUValue.xlsx</t>
  </si>
  <si>
    <t>A03</t>
  </si>
  <si>
    <t>Implementing those cells not fully implemented previously</t>
  </si>
  <si>
    <t>X mm gap between insulation rolls</t>
  </si>
  <si>
    <t>Implemented in assembly 8 only</t>
  </si>
  <si>
    <t>Implemented in assemblies 5, 6, 7 &amp; 8</t>
  </si>
  <si>
    <t>GBE Calculator LoftZoneStoreFloorUValue A03BRM071116.xlsx</t>
  </si>
  <si>
    <t>Dave Raval</t>
  </si>
  <si>
    <t>Deck board coordinating size (325, 610)</t>
  </si>
  <si>
    <t>A04 %%%</t>
  </si>
  <si>
    <t>Added Project Target U Value</t>
  </si>
  <si>
    <t>Cells C-D:14-21 to be updated</t>
  </si>
  <si>
    <t>AECB CarbonLite Step 1 Silver</t>
  </si>
  <si>
    <t>AECB CarbonLite Step 2 Passivhaus UK</t>
  </si>
  <si>
    <t>AECB CarbonLite Step 3 Gold</t>
  </si>
  <si>
    <t>Passivhaus New Build</t>
  </si>
  <si>
    <t>EnerPHit Passivhaus Retrofit</t>
  </si>
  <si>
    <t>Timber joists at centres</t>
  </si>
  <si>
    <t>Total Insulation thickness</t>
  </si>
  <si>
    <t>Calculated Uvalue</t>
  </si>
  <si>
    <t>Target U value</t>
  </si>
  <si>
    <t>Added optional standards to Summary sheet</t>
  </si>
  <si>
    <t>Added other standards worksheet</t>
  </si>
  <si>
    <t>Linked CPD PPT to this file (second page)</t>
  </si>
  <si>
    <t>A04</t>
  </si>
  <si>
    <t>GBE Calculator LoftZoneStoreFloorUValue Working.xlsx</t>
  </si>
  <si>
    <t>Issue this file working copy excel with CPD PPTX</t>
  </si>
  <si>
    <t>AECB CarbonLite Retrofit</t>
  </si>
  <si>
    <t>Choose this worksheet before closing the file and continuing in Show</t>
  </si>
  <si>
    <t>Edit 8 cells below by choosing from drop down menus 
V</t>
  </si>
  <si>
    <t>Project Target U value: if you wish to state it</t>
  </si>
  <si>
    <t>AECB CarbonLite Retrofit Step</t>
  </si>
  <si>
    <t>Ideally print A4 landscape</t>
  </si>
  <si>
    <t>NB: 
These design standards do not normally state U values but set maximum building energy demands and their respective software determines U values based on many building and site parameters. 
These U values are only give as an example.</t>
  </si>
  <si>
    <t>A05</t>
  </si>
  <si>
    <t>Peer review of calculator to be sure</t>
  </si>
  <si>
    <t>Remove columns to fit A4 landscape</t>
  </si>
  <si>
    <t>Reduce 3 to 1 row for Carbon Light Retrofit</t>
  </si>
  <si>
    <t>Other Standards</t>
  </si>
  <si>
    <t>Split R value and total thickness into two rows</t>
  </si>
  <si>
    <t>Highighted cells needing actions</t>
  </si>
  <si>
    <t>Added NB note re U values</t>
  </si>
  <si>
    <t>Issue to Website Summary and Other Standards</t>
  </si>
  <si>
    <t>GBE Calculator LoftZoneStoreFloorUValue Summary A05BRM100117.pdf</t>
  </si>
  <si>
    <t>GBE Calculator LoftZoneStoreFloorUValue OtherStandards A05BRM100117.pdf</t>
  </si>
  <si>
    <t>Total R value</t>
  </si>
  <si>
    <t>U Value</t>
  </si>
  <si>
    <t>Thermal Resistance 
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</si>
</sst>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sz val="12"/>
      <color rgb="FF008000"/>
      <name val="Calibri"/>
      <scheme val="minor"/>
    </font>
    <font>
      <b/>
      <sz val="18"/>
      <color theme="1"/>
      <name val="Calibri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scheme val="minor"/>
    </font>
    <font>
      <strike/>
      <sz val="12"/>
      <color theme="1"/>
      <name val="Calibri"/>
      <scheme val="minor"/>
    </font>
    <font>
      <sz val="18"/>
      <color theme="0" tint="-0.499984740745262"/>
      <name val="Calibri"/>
      <scheme val="minor"/>
    </font>
    <font>
      <b/>
      <sz val="12"/>
      <color rgb="FF000000"/>
      <name val="Calibri"/>
      <family val="2"/>
      <scheme val="minor"/>
    </font>
    <font>
      <sz val="16"/>
      <color rgb="FFFF000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3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7">
    <xf numFmtId="0" fontId="0" fillId="0" borderId="0" xfId="0"/>
    <xf numFmtId="10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6" fillId="0" borderId="0" xfId="0" applyFont="1"/>
    <xf numFmtId="0" fontId="6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/>
    <xf numFmtId="165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8" fillId="0" borderId="0" xfId="0" applyFont="1"/>
    <xf numFmtId="10" fontId="0" fillId="0" borderId="0" xfId="0" applyNumberFormat="1" applyAlignment="1">
      <alignment horizontal="center" textRotation="90"/>
    </xf>
    <xf numFmtId="10" fontId="0" fillId="0" borderId="0" xfId="0" applyNumberFormat="1"/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textRotation="90"/>
    </xf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textRotation="90"/>
    </xf>
    <xf numFmtId="165" fontId="0" fillId="0" borderId="0" xfId="0" applyNumberFormat="1" applyAlignment="1">
      <alignment horizontal="center" textRotation="90" wrapText="1"/>
    </xf>
    <xf numFmtId="165" fontId="0" fillId="2" borderId="0" xfId="0" applyNumberForma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3" fontId="0" fillId="0" borderId="2" xfId="0" applyNumberFormat="1" applyBorder="1"/>
    <xf numFmtId="10" fontId="0" fillId="0" borderId="2" xfId="0" applyNumberFormat="1" applyBorder="1"/>
    <xf numFmtId="164" fontId="0" fillId="0" borderId="2" xfId="0" applyNumberFormat="1" applyBorder="1" applyAlignment="1">
      <alignment horizontal="center"/>
    </xf>
    <xf numFmtId="0" fontId="6" fillId="0" borderId="4" xfId="0" applyFont="1" applyBorder="1"/>
    <xf numFmtId="0" fontId="0" fillId="0" borderId="0" xfId="0" applyBorder="1"/>
    <xf numFmtId="0" fontId="6" fillId="0" borderId="0" xfId="0" applyFont="1" applyBorder="1"/>
    <xf numFmtId="3" fontId="0" fillId="0" borderId="0" xfId="0" applyNumberFormat="1" applyBorder="1"/>
    <xf numFmtId="10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7" fillId="0" borderId="0" xfId="0" applyFont="1" applyBorder="1"/>
    <xf numFmtId="0" fontId="0" fillId="0" borderId="4" xfId="0" applyBorder="1"/>
    <xf numFmtId="0" fontId="8" fillId="0" borderId="0" xfId="0" applyFont="1" applyBorder="1"/>
    <xf numFmtId="0" fontId="0" fillId="4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4" borderId="0" xfId="0" applyFill="1" applyBorder="1"/>
    <xf numFmtId="10" fontId="0" fillId="0" borderId="0" xfId="1" applyNumberFormat="1" applyFont="1" applyBorder="1"/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0" xfId="0" applyFill="1" applyBorder="1"/>
    <xf numFmtId="0" fontId="6" fillId="4" borderId="0" xfId="0" applyFont="1" applyFill="1" applyBorder="1" applyAlignment="1">
      <alignment horizontal="center"/>
    </xf>
    <xf numFmtId="0" fontId="6" fillId="0" borderId="6" xfId="0" applyFont="1" applyBorder="1"/>
    <xf numFmtId="0" fontId="0" fillId="0" borderId="7" xfId="0" applyBorder="1"/>
    <xf numFmtId="0" fontId="6" fillId="0" borderId="7" xfId="0" applyFont="1" applyBorder="1"/>
    <xf numFmtId="0" fontId="0" fillId="0" borderId="7" xfId="0" applyBorder="1" applyAlignment="1">
      <alignment horizontal="center"/>
    </xf>
    <xf numFmtId="3" fontId="0" fillId="0" borderId="7" xfId="0" applyNumberFormat="1" applyBorder="1"/>
    <xf numFmtId="10" fontId="0" fillId="0" borderId="7" xfId="0" applyNumberFormat="1" applyBorder="1"/>
    <xf numFmtId="165" fontId="6" fillId="2" borderId="0" xfId="0" applyNumberFormat="1" applyFont="1" applyFill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6" xfId="0" applyBorder="1"/>
    <xf numFmtId="3" fontId="0" fillId="0" borderId="7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/>
    <xf numFmtId="14" fontId="0" fillId="0" borderId="0" xfId="0" applyNumberFormat="1"/>
    <xf numFmtId="0" fontId="9" fillId="0" borderId="0" xfId="0" applyFont="1" applyAlignment="1">
      <alignment vertical="top"/>
    </xf>
    <xf numFmtId="0" fontId="0" fillId="0" borderId="0" xfId="0" applyFill="1" applyBorder="1" applyAlignment="1">
      <alignment horizontal="center"/>
    </xf>
    <xf numFmtId="2" fontId="0" fillId="4" borderId="7" xfId="0" applyNumberForma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0" fontId="0" fillId="3" borderId="9" xfId="0" applyFill="1" applyBorder="1"/>
    <xf numFmtId="3" fontId="0" fillId="4" borderId="0" xfId="0" applyNumberFormat="1" applyFill="1"/>
    <xf numFmtId="3" fontId="0" fillId="4" borderId="0" xfId="0" applyNumberFormat="1" applyFill="1" applyBorder="1"/>
    <xf numFmtId="3" fontId="6" fillId="4" borderId="0" xfId="0" applyNumberFormat="1" applyFont="1" applyFill="1" applyBorder="1"/>
    <xf numFmtId="10" fontId="0" fillId="4" borderId="0" xfId="1" applyNumberFormat="1" applyFont="1" applyFill="1" applyBorder="1"/>
    <xf numFmtId="10" fontId="0" fillId="4" borderId="0" xfId="1" applyNumberFormat="1" applyFont="1" applyFill="1"/>
    <xf numFmtId="2" fontId="0" fillId="4" borderId="0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4" borderId="6" xfId="0" applyNumberForma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0" xfId="0" applyFont="1" applyFill="1"/>
    <xf numFmtId="0" fontId="6" fillId="0" borderId="0" xfId="0" applyFont="1" applyFill="1"/>
    <xf numFmtId="0" fontId="7" fillId="4" borderId="0" xfId="0" applyFont="1" applyFill="1" applyAlignment="1">
      <alignment horizontal="center"/>
    </xf>
    <xf numFmtId="0" fontId="0" fillId="3" borderId="10" xfId="0" applyFill="1" applyBorder="1"/>
    <xf numFmtId="0" fontId="0" fillId="0" borderId="0" xfId="0" applyAlignment="1">
      <alignment horizontal="center" wrapText="1"/>
    </xf>
    <xf numFmtId="0" fontId="0" fillId="2" borderId="16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2" borderId="16" xfId="0" applyFont="1" applyFill="1" applyBorder="1" applyAlignment="1">
      <alignment wrapText="1"/>
    </xf>
    <xf numFmtId="166" fontId="6" fillId="4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0" xfId="0" applyFont="1" applyBorder="1"/>
    <xf numFmtId="166" fontId="0" fillId="4" borderId="0" xfId="0" applyNumberFormat="1" applyFill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wrapText="1"/>
    </xf>
    <xf numFmtId="0" fontId="7" fillId="0" borderId="17" xfId="0" applyFont="1" applyBorder="1" applyAlignment="1">
      <alignment wrapText="1"/>
    </xf>
    <xf numFmtId="164" fontId="4" fillId="0" borderId="17" xfId="0" applyNumberFormat="1" applyFont="1" applyBorder="1" applyAlignment="1">
      <alignment horizontal="left" wrapText="1"/>
    </xf>
    <xf numFmtId="0" fontId="7" fillId="4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/>
    </xf>
    <xf numFmtId="0" fontId="7" fillId="3" borderId="9" xfId="0" applyFont="1" applyFill="1" applyBorder="1"/>
    <xf numFmtId="165" fontId="0" fillId="0" borderId="5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4" borderId="6" xfId="0" applyNumberFormat="1" applyFill="1" applyBorder="1" applyAlignment="1">
      <alignment horizontal="center" vertical="center"/>
    </xf>
    <xf numFmtId="165" fontId="0" fillId="4" borderId="8" xfId="0" applyNumberFormat="1" applyFill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13" fillId="0" borderId="0" xfId="0" applyFont="1"/>
    <xf numFmtId="0" fontId="0" fillId="0" borderId="22" xfId="0" applyBorder="1"/>
    <xf numFmtId="0" fontId="0" fillId="0" borderId="25" xfId="0" applyBorder="1"/>
    <xf numFmtId="0" fontId="0" fillId="2" borderId="0" xfId="0" applyFill="1"/>
    <xf numFmtId="165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shrinkToFit="1"/>
    </xf>
    <xf numFmtId="165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 shrinkToFit="1"/>
    </xf>
    <xf numFmtId="2" fontId="0" fillId="0" borderId="0" xfId="0" applyNumberFormat="1" applyBorder="1" applyAlignment="1">
      <alignment horizontal="center"/>
    </xf>
    <xf numFmtId="0" fontId="7" fillId="3" borderId="36" xfId="0" applyFont="1" applyFill="1" applyBorder="1"/>
    <xf numFmtId="165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 shrinkToFit="1"/>
    </xf>
    <xf numFmtId="0" fontId="0" fillId="0" borderId="34" xfId="0" applyBorder="1" applyAlignment="1">
      <alignment horizontal="center" textRotation="90" wrapText="1"/>
    </xf>
    <xf numFmtId="0" fontId="7" fillId="0" borderId="39" xfId="0" applyFont="1" applyBorder="1" applyAlignment="1">
      <alignment textRotation="90" wrapText="1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0" fontId="7" fillId="0" borderId="21" xfId="0" applyFont="1" applyBorder="1"/>
    <xf numFmtId="0" fontId="7" fillId="0" borderId="25" xfId="0" applyFont="1" applyBorder="1"/>
    <xf numFmtId="0" fontId="7" fillId="0" borderId="22" xfId="0" applyFont="1" applyBorder="1"/>
    <xf numFmtId="0" fontId="4" fillId="0" borderId="25" xfId="0" applyFont="1" applyBorder="1"/>
    <xf numFmtId="2" fontId="0" fillId="0" borderId="41" xfId="0" applyNumberFormat="1" applyBorder="1" applyAlignment="1">
      <alignment horizontal="center"/>
    </xf>
    <xf numFmtId="14" fontId="0" fillId="0" borderId="0" xfId="0" applyNumberFormat="1" applyFill="1"/>
    <xf numFmtId="0" fontId="0" fillId="0" borderId="31" xfId="0" applyBorder="1" applyAlignment="1">
      <alignment horizontal="center"/>
    </xf>
    <xf numFmtId="0" fontId="0" fillId="0" borderId="21" xfId="0" applyFill="1" applyBorder="1" applyAlignment="1">
      <alignment horizontal="left"/>
    </xf>
    <xf numFmtId="0" fontId="7" fillId="0" borderId="25" xfId="0" applyFont="1" applyFill="1" applyBorder="1"/>
    <xf numFmtId="0" fontId="7" fillId="5" borderId="21" xfId="0" applyFont="1" applyFill="1" applyBorder="1"/>
    <xf numFmtId="0" fontId="7" fillId="5" borderId="25" xfId="0" applyFont="1" applyFill="1" applyBorder="1"/>
    <xf numFmtId="0" fontId="7" fillId="5" borderId="22" xfId="0" applyFont="1" applyFill="1" applyBorder="1"/>
    <xf numFmtId="0" fontId="8" fillId="3" borderId="25" xfId="0" applyFont="1" applyFill="1" applyBorder="1"/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166" fontId="0" fillId="3" borderId="1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7" fillId="0" borderId="0" xfId="0" applyFont="1" applyFill="1"/>
    <xf numFmtId="165" fontId="0" fillId="3" borderId="9" xfId="0" applyNumberForma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5" xfId="0" applyBorder="1"/>
    <xf numFmtId="165" fontId="0" fillId="0" borderId="16" xfId="0" applyNumberFormat="1" applyBorder="1" applyAlignment="1">
      <alignment horizontal="center"/>
    </xf>
    <xf numFmtId="0" fontId="15" fillId="6" borderId="0" xfId="0" applyFont="1" applyFill="1"/>
    <xf numFmtId="10" fontId="6" fillId="0" borderId="0" xfId="0" applyNumberFormat="1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6" fillId="7" borderId="0" xfId="0" applyFont="1" applyFill="1" applyAlignment="1">
      <alignment horizontal="center"/>
    </xf>
    <xf numFmtId="165" fontId="6" fillId="6" borderId="0" xfId="0" applyNumberFormat="1" applyFont="1" applyFill="1" applyAlignment="1">
      <alignment horizontal="center"/>
    </xf>
    <xf numFmtId="166" fontId="0" fillId="0" borderId="0" xfId="0" applyNumberFormat="1"/>
    <xf numFmtId="0" fontId="6" fillId="8" borderId="0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165" fontId="6" fillId="8" borderId="0" xfId="0" applyNumberFormat="1" applyFont="1" applyFill="1" applyAlignment="1">
      <alignment horizontal="center"/>
    </xf>
    <xf numFmtId="0" fontId="6" fillId="8" borderId="0" xfId="0" applyFont="1" applyFill="1"/>
    <xf numFmtId="0" fontId="6" fillId="9" borderId="0" xfId="0" applyFont="1" applyFill="1"/>
    <xf numFmtId="164" fontId="0" fillId="4" borderId="0" xfId="0" applyNumberFormat="1" applyFill="1" applyAlignment="1">
      <alignment horizontal="center"/>
    </xf>
    <xf numFmtId="0" fontId="7" fillId="4" borderId="0" xfId="0" applyFont="1" applyFill="1"/>
    <xf numFmtId="0" fontId="0" fillId="0" borderId="2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4" fillId="3" borderId="45" xfId="0" applyFont="1" applyFill="1" applyBorder="1" applyAlignment="1">
      <alignment horizontal="left"/>
    </xf>
    <xf numFmtId="0" fontId="4" fillId="3" borderId="45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4" fillId="3" borderId="46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0" fillId="10" borderId="0" xfId="0" applyFill="1"/>
    <xf numFmtId="14" fontId="0" fillId="10" borderId="0" xfId="0" applyNumberFormat="1" applyFill="1"/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center" textRotation="90" wrapText="1"/>
    </xf>
  </cellXfs>
  <cellStyles count="1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Normal" xfId="0" builtinId="0"/>
    <cellStyle name="Percent" xfId="1" builtinId="5"/>
  </cellStyles>
  <dxfs count="4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59999389629810485"/>
        </patternFill>
      </fill>
    </dxf>
    <dxf>
      <font>
        <color rgb="FF660066"/>
      </font>
      <fill>
        <patternFill patternType="solid">
          <fgColor indexed="64"/>
          <bgColor theme="7" tint="0.599993896298104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660066"/>
      </font>
      <fill>
        <patternFill patternType="solid">
          <fgColor indexed="64"/>
          <bgColor theme="7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660066"/>
      </font>
      <fill>
        <patternFill patternType="solid">
          <fgColor indexed="64"/>
          <bgColor theme="7" tint="0.5999938962981048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734585</xdr:colOff>
      <xdr:row>1</xdr:row>
      <xdr:rowOff>374383</xdr:rowOff>
    </xdr:from>
    <xdr:to>
      <xdr:col>1</xdr:col>
      <xdr:colOff>4324447</xdr:colOff>
      <xdr:row>1</xdr:row>
      <xdr:rowOff>1366024</xdr:rowOff>
    </xdr:to>
    <xdr:pic>
      <xdr:nvPicPr>
        <xdr:cNvPr id="2" name="Picture 4" descr="GBE_Logo_docx_width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685" y="602983"/>
          <a:ext cx="3589862" cy="991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3454400</xdr:colOff>
      <xdr:row>0</xdr:row>
      <xdr:rowOff>0</xdr:rowOff>
    </xdr:from>
    <xdr:to>
      <xdr:col>26</xdr:col>
      <xdr:colOff>152401</xdr:colOff>
      <xdr:row>1</xdr:row>
      <xdr:rowOff>795867</xdr:rowOff>
    </xdr:to>
    <xdr:pic>
      <xdr:nvPicPr>
        <xdr:cNvPr id="2" name="Picture 4" descr="GBE_Logo_docx_width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0" y="0"/>
          <a:ext cx="3568700" cy="986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3"/>
  <sheetViews>
    <sheetView tabSelected="1" workbookViewId="0">
      <selection activeCell="I24" sqref="I24:I33"/>
    </sheetView>
  </sheetViews>
  <sheetFormatPr baseColWidth="10" defaultRowHeight="15" x14ac:dyDescent="0"/>
  <cols>
    <col min="1" max="1" width="2.1640625" bestFit="1" customWidth="1"/>
    <col min="2" max="2" width="68" customWidth="1"/>
    <col min="3" max="3" width="9.1640625" bestFit="1" customWidth="1"/>
    <col min="4" max="4" width="10.1640625" customWidth="1"/>
    <col min="5" max="5" width="9.1640625" customWidth="1"/>
    <col min="6" max="7" width="8.5" bestFit="1" customWidth="1"/>
    <col min="8" max="8" width="8.5" customWidth="1"/>
    <col min="9" max="9" width="53.1640625" customWidth="1"/>
  </cols>
  <sheetData>
    <row r="1" spans="1:9" ht="18" customHeight="1"/>
    <row r="2" spans="1:9" ht="181" thickBot="1">
      <c r="B2" s="79" t="str">
        <f>UValues!D2</f>
        <v>GBE Calculator Thermal Bridge LoftZoneStoreFloor</v>
      </c>
      <c r="C2" s="261" t="s">
        <v>253</v>
      </c>
      <c r="D2" s="262" t="s">
        <v>252</v>
      </c>
      <c r="I2" s="91" t="s">
        <v>217</v>
      </c>
    </row>
    <row r="3" spans="1:9" ht="17" thickTop="1" thickBot="1">
      <c r="B3" s="254" t="s">
        <v>108</v>
      </c>
      <c r="C3" s="83">
        <v>100</v>
      </c>
      <c r="D3" t="s">
        <v>75</v>
      </c>
      <c r="E3" s="234" t="str">
        <f>IF(C3&lt;100,"Fails BBA requirement", "Good")</f>
        <v>Good</v>
      </c>
      <c r="F3" s="235"/>
      <c r="G3" s="235"/>
      <c r="H3" s="236"/>
      <c r="I3" s="190" t="s">
        <v>191</v>
      </c>
    </row>
    <row r="4" spans="1:9" ht="17" thickTop="1" thickBot="1">
      <c r="B4" s="254" t="s">
        <v>181</v>
      </c>
      <c r="C4" s="83">
        <v>32</v>
      </c>
      <c r="D4" t="s">
        <v>75</v>
      </c>
      <c r="E4" s="237" t="str">
        <f>IF(C4&lt;35,"Fails BBA requirement", "Good")</f>
        <v>Fails BBA requirement</v>
      </c>
      <c r="F4" s="238"/>
      <c r="G4" s="238"/>
      <c r="H4" s="239"/>
      <c r="I4" s="191" t="s">
        <v>176</v>
      </c>
    </row>
    <row r="5" spans="1:9" ht="17" thickTop="1" thickBot="1">
      <c r="B5" s="254" t="s">
        <v>156</v>
      </c>
      <c r="C5" s="83">
        <v>600</v>
      </c>
      <c r="D5" t="s">
        <v>75</v>
      </c>
      <c r="E5" s="237" t="str">
        <f>IF(C5&lt;35,"Fails BBA requirement", "Good")</f>
        <v>Good</v>
      </c>
      <c r="F5" s="238"/>
      <c r="G5" s="238"/>
      <c r="H5" s="239"/>
      <c r="I5" s="193" t="s">
        <v>197</v>
      </c>
    </row>
    <row r="6" spans="1:9" s="11" customFormat="1" ht="17" thickTop="1" thickBot="1">
      <c r="B6" s="254" t="s">
        <v>209</v>
      </c>
      <c r="C6" s="153">
        <v>270</v>
      </c>
      <c r="D6" s="11" t="s">
        <v>75</v>
      </c>
      <c r="E6" s="237" t="str">
        <f>IF(C6&gt;230,"Fails BBA requirement", "Good")</f>
        <v>Fails BBA requirement</v>
      </c>
      <c r="F6" s="238"/>
      <c r="G6" s="238"/>
      <c r="H6" s="239"/>
      <c r="I6" s="191" t="s">
        <v>177</v>
      </c>
    </row>
    <row r="7" spans="1:9" s="11" customFormat="1" ht="32" thickTop="1" thickBot="1">
      <c r="B7" s="255" t="s">
        <v>178</v>
      </c>
      <c r="C7" s="153">
        <v>4.3999999999999997E-2</v>
      </c>
      <c r="D7" s="11" t="s">
        <v>2</v>
      </c>
      <c r="E7" s="231" t="s">
        <v>195</v>
      </c>
      <c r="F7" s="232"/>
      <c r="G7" s="232"/>
      <c r="H7" s="233"/>
      <c r="I7" s="191" t="s">
        <v>198</v>
      </c>
    </row>
    <row r="8" spans="1:9" s="11" customFormat="1" ht="17" thickTop="1" thickBot="1">
      <c r="B8" s="254" t="s">
        <v>143</v>
      </c>
      <c r="C8" s="153">
        <v>600</v>
      </c>
      <c r="D8" s="11" t="s">
        <v>75</v>
      </c>
      <c r="E8" s="237" t="str">
        <f>IF(C8&lt;600,"Fails: Gappy insulation?", "Good")</f>
        <v>Good</v>
      </c>
      <c r="F8" s="238"/>
      <c r="G8" s="238"/>
      <c r="H8" s="239"/>
      <c r="I8" s="191" t="s">
        <v>228</v>
      </c>
    </row>
    <row r="9" spans="1:9" s="11" customFormat="1" ht="17" thickTop="1" thickBot="1">
      <c r="B9" s="254" t="s">
        <v>232</v>
      </c>
      <c r="C9" s="153">
        <v>610</v>
      </c>
      <c r="D9" s="11" t="s">
        <v>75</v>
      </c>
      <c r="E9" s="237" t="str">
        <f>IF(C9&gt;600,"Fails: Gappy insulation?", "Good")</f>
        <v>Fails: Gappy insulation?</v>
      </c>
      <c r="F9" s="238"/>
      <c r="G9" s="238"/>
      <c r="H9" s="239"/>
      <c r="I9" s="191" t="s">
        <v>229</v>
      </c>
    </row>
    <row r="10" spans="1:9" s="11" customFormat="1" ht="17" thickTop="1" thickBot="1">
      <c r="B10" s="254" t="s">
        <v>219</v>
      </c>
      <c r="C10" s="170">
        <v>29</v>
      </c>
      <c r="D10" s="11" t="s">
        <v>75</v>
      </c>
      <c r="E10" s="237" t="str">
        <f>IF(C10&lt;50,"Fails BBA requirement", "Good")</f>
        <v>Fails BBA requirement</v>
      </c>
      <c r="F10" s="238"/>
      <c r="G10" s="238"/>
      <c r="H10" s="239"/>
      <c r="I10" s="192" t="s">
        <v>208</v>
      </c>
    </row>
    <row r="11" spans="1:9" ht="88" customHeight="1" thickTop="1">
      <c r="C11" s="173" t="str">
        <f>UValues!V3</f>
        <v>U value</v>
      </c>
      <c r="D11" s="174" t="s">
        <v>194</v>
      </c>
      <c r="E11" s="188" t="str">
        <f>UValues!X3</f>
        <v>Thermal bridge modification factor</v>
      </c>
      <c r="F11" s="189" t="str">
        <f>UValues!W3</f>
        <v>U value</v>
      </c>
      <c r="G11" s="174" t="s">
        <v>194</v>
      </c>
      <c r="H11" s="188" t="str">
        <f>UValues!Y3</f>
        <v>Thermal bridge modification factor</v>
      </c>
    </row>
    <row r="12" spans="1:9" ht="16" thickBot="1">
      <c r="B12" t="s">
        <v>79</v>
      </c>
      <c r="C12" s="227" t="str">
        <f>IF(C3=75,"75 mm","Look right")</f>
        <v>Look right</v>
      </c>
      <c r="D12" s="228"/>
      <c r="E12" s="229"/>
      <c r="F12" s="227" t="str">
        <f>IF(C3=100,"100 mm","Look left")</f>
        <v>100 mm</v>
      </c>
      <c r="G12" s="228"/>
      <c r="H12" s="230"/>
    </row>
    <row r="13" spans="1:9" ht="16" thickBot="1">
      <c r="C13" s="175" t="str">
        <f>UValues!V5</f>
        <v>W/m2.K</v>
      </c>
      <c r="D13" s="176" t="s">
        <v>193</v>
      </c>
      <c r="E13" s="187" t="s">
        <v>74</v>
      </c>
      <c r="F13" s="175" t="str">
        <f>UValues!W5</f>
        <v>W/m2.K</v>
      </c>
      <c r="G13" s="176" t="s">
        <v>193</v>
      </c>
      <c r="H13" s="196" t="s">
        <v>74</v>
      </c>
      <c r="I13" s="197" t="s">
        <v>216</v>
      </c>
    </row>
    <row r="14" spans="1:9" ht="16" thickTop="1">
      <c r="A14">
        <v>0</v>
      </c>
      <c r="B14" t="str">
        <f>UValues!D6</f>
        <v>Existing roof no insulation between ceiling joists</v>
      </c>
      <c r="C14" s="171">
        <f>UValues!V13</f>
        <v>0</v>
      </c>
      <c r="D14" s="172" t="str">
        <f t="shared" ref="D14:D22" si="0">IF(C14=0,"Ignore",IF(C14&lt;=0.11,"Pass",IF(C14&lt;=0.16,"Check Below","Fail")))</f>
        <v>Ignore</v>
      </c>
      <c r="E14" s="169">
        <f>UValues!X13</f>
        <v>0</v>
      </c>
      <c r="F14" s="171">
        <f>UValues!W13</f>
        <v>2.3200475907198097</v>
      </c>
      <c r="G14" s="172" t="str">
        <f t="shared" ref="G14:G22" si="1">IF(F14=0,"Ignore",IF(F14&lt;=0.11,"Pass",IF(F14&lt;=0.16,"Check Below","Fail")))</f>
        <v>Fail</v>
      </c>
      <c r="H14" s="169">
        <f>UValues!Y13</f>
        <v>0.37182039371820386</v>
      </c>
      <c r="I14" s="199" t="s">
        <v>204</v>
      </c>
    </row>
    <row r="15" spans="1:9">
      <c r="A15">
        <v>1</v>
      </c>
      <c r="B15" t="str">
        <f>UValues!D14</f>
        <v>Existing roof insulated between joists</v>
      </c>
      <c r="C15" s="165">
        <f>UValues!V22</f>
        <v>0</v>
      </c>
      <c r="D15" s="166" t="str">
        <f t="shared" si="0"/>
        <v>Ignore</v>
      </c>
      <c r="E15" s="169">
        <f>UValues!X22</f>
        <v>0</v>
      </c>
      <c r="F15" s="165">
        <f>UValues!W22</f>
        <v>0.38721556805155649</v>
      </c>
      <c r="G15" s="166" t="str">
        <f t="shared" si="1"/>
        <v>Fail</v>
      </c>
      <c r="H15" s="169">
        <f>UValues!Y22</f>
        <v>0.75249777560432252</v>
      </c>
      <c r="I15" s="200" t="s">
        <v>199</v>
      </c>
    </row>
    <row r="16" spans="1:9">
      <c r="A16">
        <v>2</v>
      </c>
      <c r="B16" t="str">
        <f>UValues!D23</f>
        <v>With top-up insulation above joists</v>
      </c>
      <c r="C16" s="165">
        <f>UValues!V32</f>
        <v>0</v>
      </c>
      <c r="D16" s="166" t="str">
        <f t="shared" si="0"/>
        <v>Ignore</v>
      </c>
      <c r="E16" s="169">
        <f>UValues!X32</f>
        <v>0</v>
      </c>
      <c r="F16" s="165">
        <f>UValues!W32</f>
        <v>0.11469330902227294</v>
      </c>
      <c r="G16" s="166" t="str">
        <f t="shared" si="1"/>
        <v>Check Below</v>
      </c>
      <c r="H16" s="169">
        <f>UValues!Y32</f>
        <v>0.91122609816288691</v>
      </c>
      <c r="I16" s="200" t="s">
        <v>200</v>
      </c>
    </row>
    <row r="17" spans="1:11">
      <c r="A17">
        <v>3</v>
      </c>
      <c r="B17" t="str">
        <f>UValues!D33</f>
        <v>With compressed insulation above and between joists</v>
      </c>
      <c r="C17" s="165">
        <f>UValues!V42</f>
        <v>0</v>
      </c>
      <c r="D17" s="166" t="str">
        <f t="shared" si="0"/>
        <v>Ignore</v>
      </c>
      <c r="E17" s="169">
        <f>UValues!X42</f>
        <v>0</v>
      </c>
      <c r="F17" s="165">
        <f>UValues!W42</f>
        <v>0.66366547547222332</v>
      </c>
      <c r="G17" s="166" t="str">
        <f t="shared" si="1"/>
        <v>Fail</v>
      </c>
      <c r="H17" s="169">
        <f>UValues!Y42</f>
        <v>0.65638041855789464</v>
      </c>
      <c r="I17" s="200" t="s">
        <v>201</v>
      </c>
    </row>
    <row r="18" spans="1:11">
      <c r="A18">
        <v>4</v>
      </c>
      <c r="B18" t="str">
        <f>UValues!D43</f>
        <v>With timber framing, deck, ventilation gap and top-up insulation</v>
      </c>
      <c r="C18" s="165">
        <f>UValues!V55</f>
        <v>0</v>
      </c>
      <c r="D18" s="166" t="str">
        <f t="shared" si="0"/>
        <v>Ignore</v>
      </c>
      <c r="E18" s="169">
        <f>UValues!X55</f>
        <v>0</v>
      </c>
      <c r="F18" s="165">
        <f>UValues!W55</f>
        <v>0.11096347355332825</v>
      </c>
      <c r="G18" s="166" t="str">
        <f t="shared" si="1"/>
        <v>Check Below</v>
      </c>
      <c r="H18" s="169">
        <f>UValues!Y55</f>
        <v>0.7542642700863581</v>
      </c>
      <c r="I18" s="198" t="s">
        <v>218</v>
      </c>
    </row>
    <row r="19" spans="1:11">
      <c r="A19">
        <v>5</v>
      </c>
      <c r="B19" t="str">
        <f>UValues!D56</f>
        <v>With timber joist, deck, no under deck vent gap and top-up insulation</v>
      </c>
      <c r="C19" s="165">
        <f>UValues!V67</f>
        <v>0</v>
      </c>
      <c r="D19" s="166" t="str">
        <f t="shared" si="0"/>
        <v>Ignore</v>
      </c>
      <c r="E19" s="169">
        <f>UValues!X67</f>
        <v>0</v>
      </c>
      <c r="F19" s="165">
        <f>UValues!W67</f>
        <v>0.11602927419164254</v>
      </c>
      <c r="G19" s="166" t="str">
        <f t="shared" si="1"/>
        <v>Check Below</v>
      </c>
      <c r="H19" s="169">
        <f>UValues!Y67</f>
        <v>0.74659857375642302</v>
      </c>
      <c r="I19" s="200" t="s">
        <v>202</v>
      </c>
      <c r="K19" s="160"/>
    </row>
    <row r="20" spans="1:11">
      <c r="A20">
        <v>6</v>
      </c>
      <c r="B20" t="str">
        <f>UValues!D68</f>
        <v>with LoftZone StoreFloor, deck, under deck vent gap and top-up insulation (GBE)</v>
      </c>
      <c r="C20" s="165">
        <f>UValues!V82</f>
        <v>0</v>
      </c>
      <c r="D20" s="166" t="str">
        <f t="shared" si="0"/>
        <v>Ignore</v>
      </c>
      <c r="E20" s="169">
        <f>UValues!X82</f>
        <v>0</v>
      </c>
      <c r="F20" s="165">
        <f>UValues!W82</f>
        <v>0.11278370334886204</v>
      </c>
      <c r="G20" s="166" t="str">
        <f t="shared" si="1"/>
        <v>Check Below</v>
      </c>
      <c r="H20" s="169">
        <f>UValues!Y82</f>
        <v>0.62311847150324251</v>
      </c>
      <c r="I20" s="202" t="s">
        <v>203</v>
      </c>
    </row>
    <row r="21" spans="1:11">
      <c r="A21">
        <v>7</v>
      </c>
      <c r="B21" t="str">
        <f>UValues!D83</f>
        <v>with LoftZone StoreFloor, deck, under deck vent gap and top-up insulation (BRE)</v>
      </c>
      <c r="C21" s="165">
        <f>UValues!V96</f>
        <v>0</v>
      </c>
      <c r="D21" s="166" t="str">
        <f t="shared" si="0"/>
        <v>Ignore</v>
      </c>
      <c r="E21" s="169">
        <f>UValues!X96</f>
        <v>0</v>
      </c>
      <c r="F21" s="165">
        <f>UValues!W96</f>
        <v>0.1124993711723502</v>
      </c>
      <c r="G21" s="166" t="str">
        <f t="shared" si="1"/>
        <v>Check Below</v>
      </c>
      <c r="H21" s="169">
        <f>UValues!Y96</f>
        <v>0.7108715006057712</v>
      </c>
      <c r="I21" s="202" t="s">
        <v>203</v>
      </c>
    </row>
    <row r="22" spans="1:11" ht="16" thickBot="1">
      <c r="A22">
        <v>8</v>
      </c>
      <c r="B22" t="str">
        <f>UValues!D97</f>
        <v>with LoftZone StoreFloor, deck, under deck vent gap and gappy top-up insulation</v>
      </c>
      <c r="C22" s="167">
        <f>UValues!V112</f>
        <v>0</v>
      </c>
      <c r="D22" s="168" t="str">
        <f t="shared" si="0"/>
        <v>Ignore</v>
      </c>
      <c r="E22" s="194">
        <f>UValues!X112</f>
        <v>0</v>
      </c>
      <c r="F22" s="167">
        <f>UValues!W112</f>
        <v>0.1138523066167744</v>
      </c>
      <c r="G22" s="168" t="str">
        <f t="shared" si="1"/>
        <v>Check Below</v>
      </c>
      <c r="H22" s="194">
        <f>UValues!Y112</f>
        <v>0.55619488772887116</v>
      </c>
      <c r="I22" s="201" t="s">
        <v>205</v>
      </c>
    </row>
    <row r="23" spans="1:11" ht="17" thickTop="1" thickBot="1">
      <c r="B23" s="256" t="s">
        <v>254</v>
      </c>
      <c r="C23" s="208">
        <v>0.16</v>
      </c>
      <c r="D23" s="2" t="s">
        <v>27</v>
      </c>
    </row>
    <row r="24" spans="1:11" ht="16" thickTop="1">
      <c r="B24" s="209" t="s">
        <v>174</v>
      </c>
      <c r="C24" s="212">
        <v>0.13</v>
      </c>
      <c r="D24" s="2" t="s">
        <v>27</v>
      </c>
      <c r="E24" s="2"/>
      <c r="F24" s="245">
        <v>0.13</v>
      </c>
      <c r="G24" s="2" t="s">
        <v>27</v>
      </c>
      <c r="I24" s="258" t="s">
        <v>257</v>
      </c>
    </row>
    <row r="25" spans="1:11">
      <c r="B25" s="211" t="s">
        <v>175</v>
      </c>
      <c r="C25" s="212">
        <v>0.16</v>
      </c>
      <c r="D25" s="2" t="s">
        <v>27</v>
      </c>
      <c r="E25" s="2"/>
      <c r="F25" s="245">
        <f t="shared" ref="F25:F31" si="2">C25</f>
        <v>0.16</v>
      </c>
      <c r="G25" s="2" t="s">
        <v>27</v>
      </c>
      <c r="I25" s="259"/>
    </row>
    <row r="26" spans="1:11">
      <c r="B26" s="209" t="s">
        <v>210</v>
      </c>
      <c r="C26" s="212">
        <v>0.11</v>
      </c>
      <c r="D26" s="2" t="s">
        <v>27</v>
      </c>
      <c r="E26" s="2"/>
      <c r="F26" s="245">
        <f t="shared" si="2"/>
        <v>0.11</v>
      </c>
      <c r="G26" s="2" t="s">
        <v>27</v>
      </c>
      <c r="I26" s="259"/>
    </row>
    <row r="27" spans="1:11">
      <c r="B27" s="211" t="s">
        <v>211</v>
      </c>
      <c r="C27" s="212">
        <v>0.13</v>
      </c>
      <c r="D27" s="2" t="s">
        <v>27</v>
      </c>
      <c r="E27" s="2"/>
      <c r="F27" s="245">
        <f t="shared" si="2"/>
        <v>0.13</v>
      </c>
      <c r="G27" s="2" t="s">
        <v>27</v>
      </c>
      <c r="I27" s="259"/>
    </row>
    <row r="28" spans="1:11">
      <c r="B28" s="209" t="s">
        <v>239</v>
      </c>
      <c r="C28" s="212">
        <v>0.15</v>
      </c>
      <c r="D28" s="2" t="s">
        <v>27</v>
      </c>
      <c r="F28" s="245">
        <f t="shared" si="2"/>
        <v>0.15</v>
      </c>
      <c r="G28" s="2" t="s">
        <v>27</v>
      </c>
      <c r="I28" s="259"/>
    </row>
    <row r="29" spans="1:11">
      <c r="B29" s="210" t="s">
        <v>236</v>
      </c>
      <c r="C29" s="212">
        <v>0.15</v>
      </c>
      <c r="D29" s="2" t="s">
        <v>27</v>
      </c>
      <c r="F29" s="245">
        <f t="shared" si="2"/>
        <v>0.15</v>
      </c>
      <c r="G29" s="2" t="s">
        <v>27</v>
      </c>
      <c r="I29" s="259"/>
    </row>
    <row r="30" spans="1:11">
      <c r="B30" s="210" t="s">
        <v>237</v>
      </c>
      <c r="C30" s="212">
        <v>0.15</v>
      </c>
      <c r="D30" s="2" t="s">
        <v>27</v>
      </c>
      <c r="F30" s="245">
        <f t="shared" si="2"/>
        <v>0.15</v>
      </c>
      <c r="G30" s="2" t="s">
        <v>27</v>
      </c>
      <c r="I30" s="259"/>
    </row>
    <row r="31" spans="1:11">
      <c r="B31" s="211" t="s">
        <v>238</v>
      </c>
      <c r="C31" s="212">
        <v>0.15</v>
      </c>
      <c r="D31" s="2" t="s">
        <v>27</v>
      </c>
      <c r="F31" s="245">
        <f t="shared" si="2"/>
        <v>0.15</v>
      </c>
      <c r="G31" s="2" t="s">
        <v>27</v>
      </c>
      <c r="I31" s="259"/>
      <c r="J31" s="257"/>
    </row>
    <row r="32" spans="1:11">
      <c r="B32" s="209" t="s">
        <v>240</v>
      </c>
      <c r="C32" s="212">
        <v>0.15</v>
      </c>
      <c r="D32" s="2" t="s">
        <v>27</v>
      </c>
      <c r="F32" s="245">
        <f t="shared" ref="F32:F33" si="3">C32</f>
        <v>0.15</v>
      </c>
      <c r="G32" s="2" t="s">
        <v>27</v>
      </c>
      <c r="I32" s="259"/>
    </row>
    <row r="33" spans="2:9">
      <c r="B33" s="211" t="s">
        <v>251</v>
      </c>
      <c r="C33" s="245">
        <v>0.1</v>
      </c>
      <c r="D33" s="2" t="s">
        <v>27</v>
      </c>
      <c r="F33" s="245">
        <f t="shared" si="3"/>
        <v>0.1</v>
      </c>
      <c r="G33" s="2" t="s">
        <v>27</v>
      </c>
      <c r="I33" s="260"/>
    </row>
  </sheetData>
  <mergeCells count="11">
    <mergeCell ref="I24:I33"/>
    <mergeCell ref="C12:E12"/>
    <mergeCell ref="F12:H12"/>
    <mergeCell ref="E7:H7"/>
    <mergeCell ref="E3:H3"/>
    <mergeCell ref="E4:H4"/>
    <mergeCell ref="E5:H5"/>
    <mergeCell ref="E6:H6"/>
    <mergeCell ref="E8:H8"/>
    <mergeCell ref="E9:H9"/>
    <mergeCell ref="E10:H10"/>
  </mergeCells>
  <phoneticPr fontId="10" type="noConversion"/>
  <conditionalFormatting sqref="E15:E20 E22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:H20 H22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E20 E22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:F20 F2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:H20 H22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:H22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:F22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:F22 C15:C22 H21 E21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:H20 E15:E20 H22 E2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D20 D22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22">
    <cfRule type="cellIs" dxfId="40" priority="33" operator="equal">
      <formula>"Ignore"</formula>
    </cfRule>
    <cfRule type="cellIs" dxfId="39" priority="34" operator="equal">
      <formula>"Check Below"</formula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D22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20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D22">
    <cfRule type="cellIs" dxfId="38" priority="39" operator="equal">
      <formula>"Pass"</formula>
    </cfRule>
    <cfRule type="cellIs" dxfId="37" priority="40" operator="equal">
      <formula>"Fail"</formula>
    </cfRule>
  </conditionalFormatting>
  <conditionalFormatting sqref="G14:G22">
    <cfRule type="cellIs" dxfId="36" priority="27" operator="equal">
      <formula>"Ignore"</formula>
    </cfRule>
    <cfRule type="cellIs" dxfId="35" priority="28" operator="equal">
      <formula>"Check Below"</formula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:G2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:G22">
    <cfRule type="cellIs" dxfId="34" priority="29" operator="equal">
      <formula>"Pass"</formula>
    </cfRule>
    <cfRule type="cellIs" dxfId="33" priority="30" operator="equal">
      <formula>"Fail"</formula>
    </cfRule>
  </conditionalFormatting>
  <conditionalFormatting sqref="C15:C22 H21 E21:F21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:C22 H21 E21:F2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E10">
    <cfRule type="cellIs" dxfId="32" priority="26" operator="equal">
      <formula>"Good"</formula>
    </cfRule>
  </conditionalFormatting>
  <conditionalFormatting sqref="E3:H10">
    <cfRule type="cellIs" dxfId="31" priority="16" operator="equal">
      <formula>"Fails: Gappy insulation?"</formula>
    </cfRule>
    <cfRule type="cellIs" dxfId="30" priority="23" operator="equal">
      <formula>"Check schedule below if it meets U value"</formula>
    </cfRule>
    <cfRule type="cellIs" dxfId="29" priority="24" operator="equal">
      <formula>"Check schedule below if it meets U value"</formula>
    </cfRule>
    <cfRule type="cellIs" dxfId="28" priority="25" operator="equal">
      <formula>"Fails BBA requirement"</formula>
    </cfRule>
  </conditionalFormatting>
  <conditionalFormatting sqref="C12:H12">
    <cfRule type="cellIs" dxfId="27" priority="19" operator="equal">
      <formula>"75 mm"</formula>
    </cfRule>
    <cfRule type="cellIs" dxfId="26" priority="20" operator="equal">
      <formula>"100 mm"</formula>
    </cfRule>
    <cfRule type="cellIs" dxfId="25" priority="21" operator="equal">
      <formula>"Look left"</formula>
    </cfRule>
    <cfRule type="cellIs" dxfId="24" priority="22" operator="equal">
      <formula>"Look right"</formula>
    </cfRule>
  </conditionalFormatting>
  <conditionalFormatting sqref="E14:E2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">
    <cfRule type="cellIs" dxfId="23" priority="15" operator="greaterThanOrEqual">
      <formula>$C$23</formula>
    </cfRule>
  </conditionalFormatting>
  <conditionalFormatting sqref="C25:C33">
    <cfRule type="cellIs" dxfId="22" priority="14" operator="greaterThanOrEqual">
      <formula>$C$23</formula>
    </cfRule>
  </conditionalFormatting>
  <conditionalFormatting sqref="C24:C33">
    <cfRule type="cellIs" dxfId="21" priority="9" operator="lessThanOrEqual">
      <formula>$C$23</formula>
    </cfRule>
    <cfRule type="cellIs" dxfId="20" priority="10" operator="greaterThan">
      <formula>$C$23</formula>
    </cfRule>
    <cfRule type="cellIs" dxfId="19" priority="11" operator="lessThan">
      <formula>$C$23</formula>
    </cfRule>
    <cfRule type="cellIs" dxfId="18" priority="12" operator="greaterThan">
      <formula>$C$23</formula>
    </cfRule>
    <cfRule type="cellIs" dxfId="17" priority="13" operator="greaterThan">
      <formula>$C$23</formula>
    </cfRule>
  </conditionalFormatting>
  <conditionalFormatting sqref="F24">
    <cfRule type="cellIs" dxfId="16" priority="8" operator="greaterThanOrEqual">
      <formula>$C$23</formula>
    </cfRule>
  </conditionalFormatting>
  <conditionalFormatting sqref="F24">
    <cfRule type="cellIs" dxfId="15" priority="3" operator="lessThanOrEqual">
      <formula>$C$23</formula>
    </cfRule>
    <cfRule type="cellIs" dxfId="14" priority="4" operator="greaterThan">
      <formula>$C$23</formula>
    </cfRule>
    <cfRule type="cellIs" dxfId="13" priority="5" operator="lessThan">
      <formula>$C$23</formula>
    </cfRule>
    <cfRule type="cellIs" dxfId="12" priority="6" operator="greaterThan">
      <formula>$C$23</formula>
    </cfRule>
    <cfRule type="cellIs" dxfId="11" priority="7" operator="greaterThan">
      <formula>$C$23</formula>
    </cfRule>
  </conditionalFormatting>
  <conditionalFormatting sqref="F24:F33">
    <cfRule type="cellIs" dxfId="10" priority="1" operator="lessThanOrEqual">
      <formula>$C$23</formula>
    </cfRule>
    <cfRule type="cellIs" dxfId="9" priority="2" operator="greaterThan">
      <formula>$C$23</formula>
    </cfRule>
  </conditionalFormatting>
  <dataValidations count="8">
    <dataValidation type="list" allowBlank="1" showInputMessage="1" showErrorMessage="1" sqref="C3">
      <formula1>ExistingCeilingJoistDepth</formula1>
    </dataValidation>
    <dataValidation type="list" allowBlank="1" showInputMessage="1" showErrorMessage="1" sqref="C4">
      <formula1>ExistingCeilingJoistWidth</formula1>
    </dataValidation>
    <dataValidation type="list" allowBlank="1" showInputMessage="1" showErrorMessage="1" sqref="C5">
      <formula1>ExistingCeilingJoistSpacing</formula1>
    </dataValidation>
    <dataValidation type="list" allowBlank="1" showInputMessage="1" showErrorMessage="1" sqref="C6">
      <formula1>TopUpInsulationThickness</formula1>
    </dataValidation>
    <dataValidation type="list" allowBlank="1" showInputMessage="1" showErrorMessage="1" sqref="C7">
      <formula1>TopUpIinsulationkvalue</formula1>
    </dataValidation>
    <dataValidation type="list" allowBlank="1" showInputMessage="1" showErrorMessage="1" sqref="C8">
      <formula1>TopUpInsulationRollWidth</formula1>
    </dataValidation>
    <dataValidation type="list" allowBlank="1" showInputMessage="1" showErrorMessage="1" sqref="C9">
      <formula1>DeckBoardCoordinatingSize</formula1>
    </dataValidation>
    <dataValidation type="list" allowBlank="1" showInputMessage="1" showErrorMessage="1" sqref="C10">
      <formula1>VentilationZoneBelowDeck</formula1>
    </dataValidation>
  </dataValidations>
  <printOptions horizontalCentered="1" verticalCentered="1"/>
  <pageMargins left="0" right="0" top="0" bottom="0" header="0" footer="0"/>
  <pageSetup paperSize="9" scale="70" orientation="landscape" horizontalDpi="4294967292" verticalDpi="4294967292"/>
  <headerFooter>
    <oddFooter>&amp;L&amp;"Calibri,Regular"&amp;K000000(c) GBE 2016&amp;C&amp;"Calibri,Regular"&amp;K000000&amp;F&amp;R&amp;"Calibri,Regular"&amp;K000000&amp;A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workbookViewId="0">
      <selection activeCell="H5" sqref="H5"/>
    </sheetView>
  </sheetViews>
  <sheetFormatPr baseColWidth="10" defaultRowHeight="15" x14ac:dyDescent="0"/>
  <cols>
    <col min="2" max="3" width="21.5" bestFit="1" customWidth="1"/>
    <col min="4" max="4" width="22.6640625" bestFit="1" customWidth="1"/>
    <col min="5" max="8" width="25.1640625" bestFit="1" customWidth="1"/>
    <col min="9" max="9" width="25.1640625" style="2" bestFit="1" customWidth="1"/>
  </cols>
  <sheetData>
    <row r="1" spans="2:9" ht="16" thickBot="1">
      <c r="B1" s="2"/>
      <c r="C1" s="2"/>
      <c r="D1" s="2"/>
      <c r="E1" s="2"/>
      <c r="F1" s="2"/>
    </row>
    <row r="2" spans="2:9" ht="16" thickBot="1">
      <c r="B2" s="177" t="s">
        <v>180</v>
      </c>
      <c r="C2" s="177" t="s">
        <v>182</v>
      </c>
      <c r="D2" s="177" t="s">
        <v>183</v>
      </c>
      <c r="E2" s="177" t="s">
        <v>184</v>
      </c>
      <c r="F2" s="177" t="s">
        <v>192</v>
      </c>
      <c r="G2" s="177" t="s">
        <v>196</v>
      </c>
      <c r="H2" s="177" t="s">
        <v>206</v>
      </c>
      <c r="I2" s="177" t="s">
        <v>207</v>
      </c>
    </row>
    <row r="3" spans="2:9">
      <c r="B3" s="178">
        <v>75</v>
      </c>
      <c r="C3" s="179">
        <v>32</v>
      </c>
      <c r="D3" s="178">
        <v>300</v>
      </c>
      <c r="E3" s="180">
        <v>100</v>
      </c>
      <c r="F3" s="179">
        <v>3.6999999999999998E-2</v>
      </c>
      <c r="G3" s="180">
        <v>570</v>
      </c>
      <c r="H3" s="180">
        <v>325</v>
      </c>
      <c r="I3" s="180">
        <v>29</v>
      </c>
    </row>
    <row r="4" spans="2:9" ht="16" thickBot="1">
      <c r="B4" s="181">
        <v>100</v>
      </c>
      <c r="C4" s="182">
        <v>35</v>
      </c>
      <c r="D4" s="183">
        <v>400</v>
      </c>
      <c r="E4" s="184">
        <v>150</v>
      </c>
      <c r="F4" s="184">
        <v>3.7999999999999999E-2</v>
      </c>
      <c r="G4" s="184">
        <v>600</v>
      </c>
      <c r="H4" s="184">
        <v>610</v>
      </c>
      <c r="I4" s="182">
        <v>35</v>
      </c>
    </row>
    <row r="5" spans="2:9">
      <c r="B5" s="2"/>
      <c r="C5" s="182">
        <v>38</v>
      </c>
      <c r="D5" s="183">
        <v>450</v>
      </c>
      <c r="E5" s="182">
        <v>170</v>
      </c>
      <c r="F5" s="184">
        <v>4.2000000000000003E-2</v>
      </c>
      <c r="G5" s="163"/>
      <c r="H5" s="163"/>
      <c r="I5" s="182">
        <v>50</v>
      </c>
    </row>
    <row r="6" spans="2:9" ht="16" thickBot="1">
      <c r="B6" s="2"/>
      <c r="C6" s="185">
        <v>50</v>
      </c>
      <c r="D6" s="181">
        <v>600</v>
      </c>
      <c r="E6" s="182">
        <v>200</v>
      </c>
      <c r="F6" s="184">
        <v>4.3999999999999997E-2</v>
      </c>
      <c r="G6" s="162" t="s">
        <v>185</v>
      </c>
      <c r="H6" s="162" t="s">
        <v>185</v>
      </c>
      <c r="I6" s="182"/>
    </row>
    <row r="7" spans="2:9" ht="16" thickBot="1">
      <c r="B7" s="2"/>
      <c r="C7" s="2"/>
      <c r="D7" s="2"/>
      <c r="E7" s="182">
        <v>230</v>
      </c>
      <c r="F7" s="184"/>
      <c r="I7" s="185" t="s">
        <v>185</v>
      </c>
    </row>
    <row r="8" spans="2:9" ht="16" thickBot="1">
      <c r="B8" s="2"/>
      <c r="C8" s="2"/>
      <c r="D8" s="2"/>
      <c r="E8" s="182">
        <v>250</v>
      </c>
      <c r="F8" s="186" t="s">
        <v>185</v>
      </c>
    </row>
    <row r="9" spans="2:9">
      <c r="B9" s="2"/>
      <c r="C9" s="2"/>
      <c r="D9" s="2"/>
      <c r="E9" s="182">
        <v>270</v>
      </c>
      <c r="F9" s="2"/>
    </row>
    <row r="10" spans="2:9">
      <c r="B10" s="2"/>
      <c r="C10" s="2"/>
      <c r="D10" s="2"/>
      <c r="E10" s="182"/>
      <c r="F10" s="2"/>
    </row>
    <row r="11" spans="2:9" ht="16" thickBot="1">
      <c r="B11" s="2"/>
      <c r="C11" s="2"/>
      <c r="D11" s="2"/>
      <c r="E11" s="185" t="s">
        <v>186</v>
      </c>
      <c r="F11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113"/>
  <sheetViews>
    <sheetView zoomScale="75" zoomScaleNormal="75" zoomScalePageLayoutView="75" workbookViewId="0">
      <pane ySplit="11500" topLeftCell="A90"/>
      <selection activeCell="H26" sqref="H26:H29"/>
      <selection pane="bottomLeft" activeCell="A39" sqref="A39"/>
    </sheetView>
  </sheetViews>
  <sheetFormatPr baseColWidth="10" defaultRowHeight="15" x14ac:dyDescent="0"/>
  <cols>
    <col min="1" max="2" width="2.1640625" bestFit="1" customWidth="1"/>
    <col min="3" max="3" width="4.1640625" bestFit="1" customWidth="1"/>
    <col min="4" max="4" width="77.83203125" customWidth="1"/>
    <col min="5" max="5" width="5" bestFit="1" customWidth="1"/>
    <col min="6" max="6" width="5.83203125" bestFit="1" customWidth="1"/>
    <col min="7" max="7" width="8" bestFit="1" customWidth="1"/>
    <col min="8" max="8" width="9.1640625" style="7" bestFit="1" customWidth="1"/>
    <col min="9" max="9" width="4.1640625" style="2" bestFit="1" customWidth="1"/>
    <col min="10" max="10" width="3.5" bestFit="1" customWidth="1"/>
    <col min="11" max="11" width="5.1640625" style="2" bestFit="1" customWidth="1"/>
    <col min="12" max="12" width="3.5" bestFit="1" customWidth="1"/>
    <col min="13" max="13" width="4.1640625" customWidth="1"/>
    <col min="14" max="14" width="4.1640625" style="2" customWidth="1"/>
    <col min="15" max="15" width="7.83203125" style="25" bestFit="1" customWidth="1"/>
    <col min="16" max="16" width="4.83203125" bestFit="1" customWidth="1"/>
    <col min="17" max="17" width="6.6640625" customWidth="1"/>
    <col min="18" max="18" width="7.83203125" style="25" bestFit="1" customWidth="1"/>
    <col min="19" max="19" width="8.5" style="22" customWidth="1"/>
    <col min="20" max="20" width="8.83203125" style="9" customWidth="1"/>
    <col min="21" max="23" width="9.1640625" style="69" bestFit="1" customWidth="1"/>
    <col min="24" max="24" width="10.33203125" style="69" bestFit="1" customWidth="1"/>
    <col min="25" max="25" width="8.5" style="69" bestFit="1" customWidth="1"/>
    <col min="26" max="26" width="90.1640625" style="91" customWidth="1"/>
  </cols>
  <sheetData>
    <row r="2" spans="1:26" ht="72" customHeight="1">
      <c r="D2" s="79" t="s">
        <v>66</v>
      </c>
      <c r="E2" s="244" t="s">
        <v>163</v>
      </c>
      <c r="F2" s="244"/>
      <c r="G2" s="244"/>
      <c r="H2" s="244"/>
      <c r="I2" s="244"/>
      <c r="J2" s="244"/>
      <c r="K2" s="244"/>
    </row>
    <row r="3" spans="1:26" s="2" customFormat="1" ht="112">
      <c r="A3" s="2">
        <v>0</v>
      </c>
      <c r="B3" s="2">
        <v>0</v>
      </c>
      <c r="C3" s="3" t="s">
        <v>7</v>
      </c>
      <c r="D3" s="3" t="s">
        <v>0</v>
      </c>
      <c r="E3" s="3" t="s">
        <v>12</v>
      </c>
      <c r="F3" s="3" t="s">
        <v>13</v>
      </c>
      <c r="G3" s="4" t="s">
        <v>5</v>
      </c>
      <c r="H3" s="28" t="s">
        <v>6</v>
      </c>
      <c r="I3" s="3" t="s">
        <v>11</v>
      </c>
      <c r="J3" s="3" t="s">
        <v>21</v>
      </c>
      <c r="K3" s="3" t="s">
        <v>16</v>
      </c>
      <c r="L3" s="3" t="s">
        <v>22</v>
      </c>
      <c r="M3" s="3" t="s">
        <v>20</v>
      </c>
      <c r="N3" s="3" t="s">
        <v>23</v>
      </c>
      <c r="O3" s="24" t="s">
        <v>17</v>
      </c>
      <c r="P3" s="3" t="s">
        <v>18</v>
      </c>
      <c r="Q3" s="3" t="s">
        <v>19</v>
      </c>
      <c r="R3" s="24" t="s">
        <v>17</v>
      </c>
      <c r="S3" s="21" t="s">
        <v>10</v>
      </c>
      <c r="T3" s="27" t="s">
        <v>6</v>
      </c>
      <c r="U3" s="2" t="s">
        <v>14</v>
      </c>
      <c r="V3" s="95" t="s">
        <v>83</v>
      </c>
      <c r="W3" s="98" t="s">
        <v>83</v>
      </c>
      <c r="X3" s="96" t="s">
        <v>84</v>
      </c>
      <c r="Y3" s="97" t="s">
        <v>84</v>
      </c>
      <c r="Z3" s="116" t="s">
        <v>76</v>
      </c>
    </row>
    <row r="4" spans="1:26" s="2" customFormat="1">
      <c r="C4" s="3"/>
      <c r="D4" s="94" t="s">
        <v>82</v>
      </c>
      <c r="E4" s="3"/>
      <c r="F4" s="3"/>
      <c r="G4" s="4"/>
      <c r="H4" s="28"/>
      <c r="I4" s="3"/>
      <c r="J4" s="3"/>
      <c r="K4" s="3"/>
      <c r="L4" s="3"/>
      <c r="M4" s="3"/>
      <c r="N4" s="3"/>
      <c r="O4" s="24"/>
      <c r="P4" s="3"/>
      <c r="Q4" s="3"/>
      <c r="R4" s="24"/>
      <c r="S4" s="21"/>
      <c r="T4" s="27"/>
      <c r="U4" s="69"/>
      <c r="V4" s="109" t="s">
        <v>80</v>
      </c>
      <c r="W4" s="76" t="s">
        <v>81</v>
      </c>
      <c r="X4" s="92" t="s">
        <v>80</v>
      </c>
      <c r="Y4" s="93" t="s">
        <v>81</v>
      </c>
      <c r="Z4" s="116" t="s">
        <v>87</v>
      </c>
    </row>
    <row r="5" spans="1:26">
      <c r="A5">
        <v>0</v>
      </c>
      <c r="B5">
        <v>0</v>
      </c>
      <c r="E5" s="2"/>
      <c r="F5" s="2"/>
      <c r="G5" s="2" t="s">
        <v>2</v>
      </c>
      <c r="H5" s="8" t="s">
        <v>28</v>
      </c>
      <c r="U5" s="69" t="s">
        <v>27</v>
      </c>
      <c r="V5" s="109" t="s">
        <v>27</v>
      </c>
      <c r="W5" s="76" t="s">
        <v>27</v>
      </c>
      <c r="X5" s="73"/>
      <c r="Y5" s="76"/>
    </row>
    <row r="6" spans="1:26" ht="30" customHeight="1">
      <c r="A6" s="32">
        <v>1</v>
      </c>
      <c r="B6" s="33">
        <v>0</v>
      </c>
      <c r="C6" s="33">
        <v>0</v>
      </c>
      <c r="D6" s="111" t="s">
        <v>85</v>
      </c>
      <c r="E6" s="34"/>
      <c r="F6" s="34"/>
      <c r="G6" s="34"/>
      <c r="H6" s="35"/>
      <c r="I6" s="34"/>
      <c r="J6" s="33"/>
      <c r="K6" s="34"/>
      <c r="L6" s="33"/>
      <c r="M6" s="33"/>
      <c r="N6" s="34"/>
      <c r="O6" s="36"/>
      <c r="P6" s="33"/>
      <c r="Q6" s="33"/>
      <c r="R6" s="36"/>
      <c r="S6" s="37"/>
      <c r="T6" s="38"/>
      <c r="U6" s="72"/>
      <c r="V6" s="134"/>
      <c r="W6" s="135"/>
      <c r="X6" s="72"/>
      <c r="Y6" s="70"/>
      <c r="Z6" s="117" t="s">
        <v>154</v>
      </c>
    </row>
    <row r="7" spans="1:26">
      <c r="A7" s="46">
        <v>1</v>
      </c>
      <c r="B7" s="40">
        <v>0</v>
      </c>
      <c r="C7" s="40">
        <v>1</v>
      </c>
      <c r="D7" s="40" t="s">
        <v>4</v>
      </c>
      <c r="E7" s="10" t="s">
        <v>9</v>
      </c>
      <c r="F7" s="10" t="s">
        <v>9</v>
      </c>
      <c r="G7" s="10" t="s">
        <v>9</v>
      </c>
      <c r="H7" s="103">
        <v>0.04</v>
      </c>
      <c r="I7" s="10"/>
      <c r="J7" s="40"/>
      <c r="K7" s="10"/>
      <c r="L7" s="40"/>
      <c r="M7" s="40"/>
      <c r="N7" s="10"/>
      <c r="O7" s="42"/>
      <c r="P7" s="40"/>
      <c r="Q7" s="40"/>
      <c r="R7" s="42"/>
      <c r="S7" s="43"/>
      <c r="T7" s="44">
        <f>H7</f>
        <v>0.04</v>
      </c>
      <c r="U7" s="73"/>
      <c r="V7" s="109"/>
      <c r="W7" s="76"/>
      <c r="X7" s="73"/>
      <c r="Y7" s="71"/>
      <c r="Z7" s="118" t="s">
        <v>91</v>
      </c>
    </row>
    <row r="8" spans="1:26">
      <c r="A8" s="46">
        <v>1</v>
      </c>
      <c r="B8" s="40">
        <v>0</v>
      </c>
      <c r="C8" s="40">
        <v>2</v>
      </c>
      <c r="D8" s="45" t="s">
        <v>24</v>
      </c>
      <c r="E8" s="10" t="s">
        <v>9</v>
      </c>
      <c r="F8" s="10" t="s">
        <v>9</v>
      </c>
      <c r="G8" s="10" t="s">
        <v>9</v>
      </c>
      <c r="H8" s="103">
        <v>0.2</v>
      </c>
      <c r="I8" s="10"/>
      <c r="J8" s="40"/>
      <c r="K8" s="10"/>
      <c r="L8" s="40"/>
      <c r="M8" s="40"/>
      <c r="N8" s="10"/>
      <c r="O8" s="42"/>
      <c r="P8" s="40"/>
      <c r="Q8" s="40"/>
      <c r="R8" s="42"/>
      <c r="S8" s="43"/>
      <c r="T8" s="44">
        <f>H8</f>
        <v>0.2</v>
      </c>
      <c r="U8" s="73"/>
      <c r="V8" s="109"/>
      <c r="W8" s="76"/>
      <c r="X8" s="73"/>
      <c r="Y8" s="71"/>
      <c r="Z8" s="118" t="s">
        <v>155</v>
      </c>
    </row>
    <row r="9" spans="1:26">
      <c r="A9" s="46">
        <v>1</v>
      </c>
      <c r="B9" s="40">
        <v>0</v>
      </c>
      <c r="C9" s="40">
        <v>6.2</v>
      </c>
      <c r="D9" s="50" t="str">
        <f>D18</f>
        <v>32 x 75 timber joists at 600 mm centres</v>
      </c>
      <c r="E9" s="48">
        <f>Summary!C3</f>
        <v>100</v>
      </c>
      <c r="F9" s="102">
        <f>E9/1000</f>
        <v>0.1</v>
      </c>
      <c r="G9" s="100">
        <v>0.13</v>
      </c>
      <c r="H9" s="102">
        <f>F9/G9</f>
        <v>0.76923076923076927</v>
      </c>
      <c r="I9" s="48">
        <f>Summary!C4</f>
        <v>32</v>
      </c>
      <c r="J9" s="40"/>
      <c r="K9" s="10"/>
      <c r="L9" s="40"/>
      <c r="M9" s="40"/>
      <c r="N9" s="10"/>
      <c r="O9" s="42"/>
      <c r="P9" s="50">
        <f>Summary!C5</f>
        <v>600</v>
      </c>
      <c r="Q9" s="40"/>
      <c r="R9" s="42"/>
      <c r="S9" s="51">
        <f>I9/P9</f>
        <v>5.3333333333333337E-2</v>
      </c>
      <c r="T9" s="44">
        <f>H9*S9</f>
        <v>4.1025641025641033E-2</v>
      </c>
      <c r="U9" s="73"/>
      <c r="V9" s="109" t="s">
        <v>29</v>
      </c>
      <c r="W9" s="76" t="s">
        <v>30</v>
      </c>
      <c r="X9" s="73" t="s">
        <v>29</v>
      </c>
      <c r="Y9" s="76" t="s">
        <v>30</v>
      </c>
      <c r="Z9" s="118" t="s">
        <v>92</v>
      </c>
    </row>
    <row r="10" spans="1:26">
      <c r="A10" s="46">
        <v>1</v>
      </c>
      <c r="B10" s="40">
        <v>0</v>
      </c>
      <c r="C10" s="40">
        <v>8</v>
      </c>
      <c r="D10" s="40" t="s">
        <v>8</v>
      </c>
      <c r="E10" s="132">
        <f>E19</f>
        <v>12.5</v>
      </c>
      <c r="F10" s="102">
        <f>E10/1000</f>
        <v>1.2500000000000001E-2</v>
      </c>
      <c r="G10" s="100">
        <v>0.25</v>
      </c>
      <c r="H10" s="102">
        <f>F10/G10</f>
        <v>0.05</v>
      </c>
      <c r="I10" s="10"/>
      <c r="J10" s="40"/>
      <c r="K10" s="10"/>
      <c r="L10" s="40"/>
      <c r="M10" s="40"/>
      <c r="N10" s="10"/>
      <c r="O10" s="42"/>
      <c r="P10" s="40"/>
      <c r="Q10" s="40"/>
      <c r="R10" s="42"/>
      <c r="S10" s="51"/>
      <c r="T10" s="44">
        <f>H10</f>
        <v>0.05</v>
      </c>
      <c r="U10" s="73"/>
      <c r="V10" s="109"/>
      <c r="W10" s="76"/>
      <c r="X10" s="73"/>
      <c r="Y10" s="71"/>
      <c r="Z10" s="118" t="s">
        <v>92</v>
      </c>
    </row>
    <row r="11" spans="1:26">
      <c r="A11" s="46">
        <v>1</v>
      </c>
      <c r="B11" s="40">
        <v>0</v>
      </c>
      <c r="C11" s="40">
        <v>9</v>
      </c>
      <c r="D11" s="40" t="s">
        <v>3</v>
      </c>
      <c r="E11" s="10" t="s">
        <v>9</v>
      </c>
      <c r="F11" s="10" t="s">
        <v>9</v>
      </c>
      <c r="G11" s="10" t="s">
        <v>9</v>
      </c>
      <c r="H11" s="103">
        <v>0.1</v>
      </c>
      <c r="I11" s="10"/>
      <c r="J11" s="40"/>
      <c r="K11" s="10"/>
      <c r="L11" s="40"/>
      <c r="M11" s="40"/>
      <c r="N11" s="10"/>
      <c r="O11" s="42"/>
      <c r="P11" s="40"/>
      <c r="Q11" s="40"/>
      <c r="R11" s="42"/>
      <c r="S11" s="43"/>
      <c r="T11" s="44">
        <f>H11</f>
        <v>0.1</v>
      </c>
      <c r="U11" s="73"/>
      <c r="V11" s="109"/>
      <c r="W11" s="76"/>
      <c r="X11" s="73"/>
      <c r="Y11" s="71"/>
      <c r="Z11" s="118" t="s">
        <v>91</v>
      </c>
    </row>
    <row r="12" spans="1:26">
      <c r="A12" s="46">
        <v>1</v>
      </c>
      <c r="B12" s="40">
        <v>0</v>
      </c>
      <c r="C12" s="41">
        <v>10</v>
      </c>
      <c r="D12" s="40" t="s">
        <v>15</v>
      </c>
      <c r="E12" s="10" t="s">
        <v>9</v>
      </c>
      <c r="F12" s="10" t="s">
        <v>9</v>
      </c>
      <c r="G12" s="10" t="s">
        <v>9</v>
      </c>
      <c r="H12" s="12">
        <f>SUM(H7:H11)</f>
        <v>1.1592307692307695</v>
      </c>
      <c r="I12" s="10"/>
      <c r="J12" s="40"/>
      <c r="K12" s="10"/>
      <c r="L12" s="40"/>
      <c r="M12" s="40"/>
      <c r="N12" s="10"/>
      <c r="O12" s="42"/>
      <c r="P12" s="40"/>
      <c r="Q12" s="40"/>
      <c r="R12" s="42"/>
      <c r="S12" s="43"/>
      <c r="T12" s="13">
        <f>SUM(T7:T11)</f>
        <v>0.431025641025641</v>
      </c>
      <c r="U12" s="73"/>
      <c r="V12" s="136">
        <v>2.3765999999999998</v>
      </c>
      <c r="W12" s="137">
        <v>2.3199999999999998</v>
      </c>
      <c r="X12" s="74">
        <v>0.44</v>
      </c>
      <c r="Y12" s="71">
        <v>0.37</v>
      </c>
      <c r="Z12" s="119"/>
    </row>
    <row r="13" spans="1:26">
      <c r="A13" s="66">
        <v>1</v>
      </c>
      <c r="B13" s="57">
        <v>0</v>
      </c>
      <c r="C13" s="58">
        <v>11</v>
      </c>
      <c r="D13" s="57"/>
      <c r="E13" s="59" t="s">
        <v>9</v>
      </c>
      <c r="F13" s="59" t="s">
        <v>9</v>
      </c>
      <c r="G13" s="59" t="s">
        <v>9</v>
      </c>
      <c r="H13" s="65"/>
      <c r="I13" s="59"/>
      <c r="J13" s="57"/>
      <c r="K13" s="59"/>
      <c r="L13" s="57"/>
      <c r="M13" s="57"/>
      <c r="N13" s="59"/>
      <c r="O13" s="60"/>
      <c r="P13" s="57"/>
      <c r="Q13" s="57"/>
      <c r="R13" s="60"/>
      <c r="S13" s="61"/>
      <c r="T13" s="64"/>
      <c r="U13" s="138">
        <f>1/T12</f>
        <v>2.3200475907198097</v>
      </c>
      <c r="V13" s="139">
        <f>IF(E9=75,U13,0)</f>
        <v>0</v>
      </c>
      <c r="W13" s="140">
        <f>IF(E9=100,U13,0)</f>
        <v>2.3200475907198097</v>
      </c>
      <c r="X13" s="81">
        <f>IF(E9=75,(T12/H12),0)</f>
        <v>0</v>
      </c>
      <c r="Y13" s="82">
        <f>IF(E9=100,(T12/H12),0)</f>
        <v>0.37182039371820386</v>
      </c>
      <c r="Z13" s="120"/>
    </row>
    <row r="14" spans="1:26" ht="29" customHeight="1">
      <c r="A14" s="32">
        <v>1</v>
      </c>
      <c r="B14" s="33">
        <v>1</v>
      </c>
      <c r="C14" s="33">
        <v>0</v>
      </c>
      <c r="D14" s="111" t="s">
        <v>68</v>
      </c>
      <c r="E14" s="34"/>
      <c r="F14" s="34"/>
      <c r="G14" s="34"/>
      <c r="H14" s="35"/>
      <c r="I14" s="34"/>
      <c r="J14" s="33"/>
      <c r="K14" s="34"/>
      <c r="L14" s="33"/>
      <c r="M14" s="33"/>
      <c r="N14" s="34"/>
      <c r="O14" s="36"/>
      <c r="P14" s="33"/>
      <c r="Q14" s="33"/>
      <c r="R14" s="36"/>
      <c r="S14" s="37"/>
      <c r="T14" s="38"/>
      <c r="U14" s="72"/>
      <c r="V14" s="134"/>
      <c r="W14" s="135"/>
      <c r="X14" s="72"/>
      <c r="Y14" s="70"/>
      <c r="Z14" s="117" t="s">
        <v>126</v>
      </c>
    </row>
    <row r="15" spans="1:26">
      <c r="A15" s="46">
        <v>1</v>
      </c>
      <c r="B15" s="40">
        <v>1</v>
      </c>
      <c r="C15" s="40">
        <v>1</v>
      </c>
      <c r="D15" s="40" t="s">
        <v>4</v>
      </c>
      <c r="E15" s="10" t="s">
        <v>9</v>
      </c>
      <c r="F15" s="10" t="s">
        <v>9</v>
      </c>
      <c r="G15" s="10" t="s">
        <v>9</v>
      </c>
      <c r="H15" s="102">
        <f>H7</f>
        <v>0.04</v>
      </c>
      <c r="I15" s="10"/>
      <c r="J15" s="40"/>
      <c r="K15" s="10"/>
      <c r="L15" s="40"/>
      <c r="M15" s="40"/>
      <c r="N15" s="10"/>
      <c r="O15" s="42"/>
      <c r="P15" s="40"/>
      <c r="Q15" s="40"/>
      <c r="R15" s="42"/>
      <c r="S15" s="43"/>
      <c r="T15" s="44">
        <f>H15</f>
        <v>0.04</v>
      </c>
      <c r="U15" s="73"/>
      <c r="V15" s="109"/>
      <c r="W15" s="76"/>
      <c r="X15" s="73"/>
      <c r="Y15" s="71"/>
      <c r="Z15" s="119"/>
    </row>
    <row r="16" spans="1:26" ht="16" thickBot="1">
      <c r="A16" s="46">
        <v>1</v>
      </c>
      <c r="B16" s="40">
        <v>1</v>
      </c>
      <c r="C16" s="40">
        <v>2</v>
      </c>
      <c r="D16" s="45" t="s">
        <v>24</v>
      </c>
      <c r="E16" s="10" t="s">
        <v>9</v>
      </c>
      <c r="F16" s="10" t="s">
        <v>9</v>
      </c>
      <c r="G16" s="10" t="s">
        <v>9</v>
      </c>
      <c r="H16" s="102">
        <f>H8</f>
        <v>0.2</v>
      </c>
      <c r="I16" s="10"/>
      <c r="J16" s="40"/>
      <c r="K16" s="10"/>
      <c r="L16" s="40"/>
      <c r="M16" s="40"/>
      <c r="N16" s="10"/>
      <c r="O16" s="42"/>
      <c r="P16" s="40"/>
      <c r="Q16" s="40"/>
      <c r="R16" s="42"/>
      <c r="S16" s="43"/>
      <c r="T16" s="44">
        <f>H16</f>
        <v>0.2</v>
      </c>
      <c r="U16" s="73"/>
      <c r="V16" s="109"/>
      <c r="W16" s="76"/>
      <c r="X16" s="73"/>
      <c r="Y16" s="71"/>
      <c r="Z16" s="119"/>
    </row>
    <row r="17" spans="1:26" ht="16" thickBot="1">
      <c r="A17" s="46">
        <v>1</v>
      </c>
      <c r="B17" s="40">
        <v>1</v>
      </c>
      <c r="C17" s="40">
        <v>6.1</v>
      </c>
      <c r="D17" s="40" t="s">
        <v>121</v>
      </c>
      <c r="E17" s="48">
        <f>Summary!C3</f>
        <v>100</v>
      </c>
      <c r="F17" s="102">
        <f>E17/1000</f>
        <v>0.1</v>
      </c>
      <c r="G17" s="99">
        <f>Summary!C7</f>
        <v>4.3999999999999997E-2</v>
      </c>
      <c r="H17" s="102">
        <f>F17/G17</f>
        <v>2.2727272727272729</v>
      </c>
      <c r="I17" s="55">
        <f>P17-I18</f>
        <v>568</v>
      </c>
      <c r="J17" s="49"/>
      <c r="K17" s="10"/>
      <c r="L17" s="40"/>
      <c r="M17" s="40"/>
      <c r="N17" s="10"/>
      <c r="O17" s="42"/>
      <c r="P17" s="50">
        <f>P$18</f>
        <v>600</v>
      </c>
      <c r="Q17" s="40"/>
      <c r="R17" s="42"/>
      <c r="S17" s="51">
        <f>I17/P17</f>
        <v>0.94666666666666666</v>
      </c>
      <c r="T17" s="44">
        <f>H17*S17</f>
        <v>2.1515151515151518</v>
      </c>
      <c r="U17" s="73"/>
      <c r="V17" s="109"/>
      <c r="W17" s="76"/>
      <c r="X17" s="73"/>
      <c r="Y17" s="74"/>
      <c r="Z17" s="121" t="s">
        <v>86</v>
      </c>
    </row>
    <row r="18" spans="1:26" ht="16" thickBot="1">
      <c r="A18" s="46">
        <v>1</v>
      </c>
      <c r="B18" s="40">
        <v>1</v>
      </c>
      <c r="C18" s="40">
        <v>6.2</v>
      </c>
      <c r="D18" s="54" t="s">
        <v>179</v>
      </c>
      <c r="E18" s="48">
        <f>E$17</f>
        <v>100</v>
      </c>
      <c r="F18" s="102">
        <f>E18/1000</f>
        <v>0.1</v>
      </c>
      <c r="G18" s="48">
        <f>G9</f>
        <v>0.13</v>
      </c>
      <c r="H18" s="102">
        <f>F18/G18</f>
        <v>0.76923076923076927</v>
      </c>
      <c r="I18" s="48">
        <f>Summary!C4</f>
        <v>32</v>
      </c>
      <c r="J18" s="40"/>
      <c r="K18" s="10"/>
      <c r="L18" s="40"/>
      <c r="M18" s="40"/>
      <c r="N18" s="10"/>
      <c r="O18" s="42"/>
      <c r="P18" s="50">
        <f>Summary!C5</f>
        <v>600</v>
      </c>
      <c r="Q18" s="40"/>
      <c r="R18" s="42"/>
      <c r="S18" s="51">
        <f>I18/P18</f>
        <v>5.3333333333333337E-2</v>
      </c>
      <c r="T18" s="44">
        <f>H18*S18</f>
        <v>4.1025641025641033E-2</v>
      </c>
      <c r="U18" s="73"/>
      <c r="V18" s="109" t="s">
        <v>29</v>
      </c>
      <c r="W18" s="76" t="s">
        <v>30</v>
      </c>
      <c r="X18" s="73" t="s">
        <v>29</v>
      </c>
      <c r="Y18" s="73" t="s">
        <v>30</v>
      </c>
      <c r="Z18" s="122" t="s">
        <v>157</v>
      </c>
    </row>
    <row r="19" spans="1:26">
      <c r="A19" s="46">
        <v>1</v>
      </c>
      <c r="B19" s="40">
        <v>1</v>
      </c>
      <c r="C19" s="40">
        <v>8</v>
      </c>
      <c r="D19" s="40" t="s">
        <v>8</v>
      </c>
      <c r="E19" s="205">
        <v>12.5</v>
      </c>
      <c r="F19" s="102">
        <f>E19/1000</f>
        <v>1.2500000000000001E-2</v>
      </c>
      <c r="G19" s="48">
        <f>G10</f>
        <v>0.25</v>
      </c>
      <c r="H19" s="102">
        <f>F19/G19</f>
        <v>0.05</v>
      </c>
      <c r="I19" s="10"/>
      <c r="J19" s="40"/>
      <c r="K19" s="10"/>
      <c r="L19" s="40"/>
      <c r="M19" s="40"/>
      <c r="N19" s="10"/>
      <c r="O19" s="42"/>
      <c r="P19" s="40"/>
      <c r="Q19" s="40"/>
      <c r="R19" s="42"/>
      <c r="S19" s="51"/>
      <c r="T19" s="44">
        <f>H19</f>
        <v>0.05</v>
      </c>
      <c r="U19" s="73"/>
      <c r="V19" s="109"/>
      <c r="W19" s="76"/>
      <c r="X19" s="73"/>
      <c r="Y19" s="71"/>
      <c r="Z19" s="119"/>
    </row>
    <row r="20" spans="1:26">
      <c r="A20" s="46">
        <v>1</v>
      </c>
      <c r="B20" s="40">
        <v>1</v>
      </c>
      <c r="C20" s="40">
        <v>9</v>
      </c>
      <c r="D20" s="40" t="s">
        <v>3</v>
      </c>
      <c r="E20" s="10" t="s">
        <v>9</v>
      </c>
      <c r="F20" s="10" t="s">
        <v>9</v>
      </c>
      <c r="G20" s="10" t="s">
        <v>9</v>
      </c>
      <c r="H20" s="102">
        <f>H11</f>
        <v>0.1</v>
      </c>
      <c r="I20" s="10"/>
      <c r="J20" s="40"/>
      <c r="K20" s="10"/>
      <c r="L20" s="40"/>
      <c r="M20" s="40"/>
      <c r="N20" s="10"/>
      <c r="O20" s="42"/>
      <c r="P20" s="40"/>
      <c r="Q20" s="40"/>
      <c r="R20" s="42"/>
      <c r="S20" s="43"/>
      <c r="T20" s="44">
        <f>H20</f>
        <v>0.1</v>
      </c>
      <c r="U20" s="73"/>
      <c r="V20" s="109"/>
      <c r="W20" s="76"/>
      <c r="X20" s="73"/>
      <c r="Y20" s="71"/>
      <c r="Z20" s="119"/>
    </row>
    <row r="21" spans="1:26">
      <c r="A21" s="46">
        <v>1</v>
      </c>
      <c r="B21" s="40">
        <v>1</v>
      </c>
      <c r="C21" s="41">
        <v>10</v>
      </c>
      <c r="D21" s="40" t="s">
        <v>15</v>
      </c>
      <c r="E21" s="10" t="s">
        <v>9</v>
      </c>
      <c r="F21" s="10" t="s">
        <v>9</v>
      </c>
      <c r="G21" s="10" t="s">
        <v>9</v>
      </c>
      <c r="H21" s="12">
        <f>SUM(H15:H20)</f>
        <v>3.4319580419580422</v>
      </c>
      <c r="I21" s="10"/>
      <c r="J21" s="40"/>
      <c r="K21" s="10"/>
      <c r="L21" s="40"/>
      <c r="M21" s="40"/>
      <c r="N21" s="10"/>
      <c r="O21" s="42"/>
      <c r="P21" s="40"/>
      <c r="Q21" s="40"/>
      <c r="R21" s="42"/>
      <c r="S21" s="43"/>
      <c r="T21" s="13">
        <f>SUM(T15:T20)</f>
        <v>2.5825407925407928</v>
      </c>
      <c r="U21" s="73"/>
      <c r="V21" s="109">
        <v>0.49149999999999999</v>
      </c>
      <c r="W21" s="76">
        <v>0.38719999999999999</v>
      </c>
      <c r="X21" s="74">
        <v>0.76</v>
      </c>
      <c r="Y21" s="71">
        <v>0.75</v>
      </c>
      <c r="Z21" s="119"/>
    </row>
    <row r="22" spans="1:26">
      <c r="A22" s="66">
        <v>1</v>
      </c>
      <c r="B22" s="57">
        <v>1</v>
      </c>
      <c r="C22" s="58">
        <v>11</v>
      </c>
      <c r="D22" s="57"/>
      <c r="E22" s="59" t="s">
        <v>9</v>
      </c>
      <c r="F22" s="59" t="s">
        <v>9</v>
      </c>
      <c r="G22" s="59" t="s">
        <v>9</v>
      </c>
      <c r="H22" s="65"/>
      <c r="I22" s="59"/>
      <c r="J22" s="57"/>
      <c r="K22" s="59"/>
      <c r="L22" s="57"/>
      <c r="M22" s="57"/>
      <c r="N22" s="59"/>
      <c r="O22" s="60"/>
      <c r="P22" s="57"/>
      <c r="Q22" s="57"/>
      <c r="R22" s="60"/>
      <c r="S22" s="61"/>
      <c r="T22" s="64"/>
      <c r="U22" s="138">
        <f>1/T21</f>
        <v>0.38721556805155649</v>
      </c>
      <c r="V22" s="139">
        <f>IF(E17=75,U22,0)</f>
        <v>0</v>
      </c>
      <c r="W22" s="140">
        <f>IF(E17=100,U22,0)</f>
        <v>0.38721556805155649</v>
      </c>
      <c r="X22" s="81">
        <f>IF(E17=75,(T21/H21),0)</f>
        <v>0</v>
      </c>
      <c r="Y22" s="82">
        <f>IF(E17=100,(T21/H21),0)</f>
        <v>0.75249777560432252</v>
      </c>
      <c r="Z22" s="120" t="s">
        <v>131</v>
      </c>
    </row>
    <row r="23" spans="1:26" ht="30" customHeight="1">
      <c r="A23">
        <v>1</v>
      </c>
      <c r="B23">
        <v>2</v>
      </c>
      <c r="C23">
        <v>0</v>
      </c>
      <c r="D23" s="112" t="s">
        <v>67</v>
      </c>
      <c r="E23" s="2"/>
      <c r="F23" s="2"/>
      <c r="G23" s="2"/>
      <c r="H23" s="8"/>
      <c r="U23" s="141"/>
      <c r="V23" s="134"/>
      <c r="W23" s="135"/>
      <c r="X23" s="107"/>
      <c r="Y23" s="70"/>
      <c r="Z23" s="117" t="s">
        <v>127</v>
      </c>
    </row>
    <row r="24" spans="1:26">
      <c r="A24">
        <v>1</v>
      </c>
      <c r="B24">
        <v>2</v>
      </c>
      <c r="C24">
        <v>1</v>
      </c>
      <c r="D24" t="s">
        <v>4</v>
      </c>
      <c r="E24" s="2" t="s">
        <v>9</v>
      </c>
      <c r="F24" s="2" t="s">
        <v>9</v>
      </c>
      <c r="G24" s="2" t="s">
        <v>9</v>
      </c>
      <c r="H24" s="101">
        <f>H7</f>
        <v>0.04</v>
      </c>
      <c r="T24" s="9">
        <f>H24</f>
        <v>0.04</v>
      </c>
      <c r="U24" s="141"/>
      <c r="V24" s="109"/>
      <c r="W24" s="76"/>
      <c r="X24" s="108"/>
      <c r="Y24" s="71"/>
      <c r="Z24" s="119"/>
    </row>
    <row r="25" spans="1:26" ht="16" thickBot="1">
      <c r="A25">
        <v>1</v>
      </c>
      <c r="B25">
        <v>2</v>
      </c>
      <c r="C25">
        <v>2</v>
      </c>
      <c r="D25" s="11" t="s">
        <v>24</v>
      </c>
      <c r="E25" s="2" t="s">
        <v>9</v>
      </c>
      <c r="F25" s="2" t="s">
        <v>9</v>
      </c>
      <c r="G25" s="2" t="s">
        <v>9</v>
      </c>
      <c r="H25" s="101">
        <f>H8</f>
        <v>0.2</v>
      </c>
      <c r="T25" s="9">
        <f>H25</f>
        <v>0.2</v>
      </c>
      <c r="U25" s="141"/>
      <c r="V25" s="109"/>
      <c r="W25" s="76"/>
      <c r="X25" s="108"/>
      <c r="Y25" s="71"/>
      <c r="Z25" s="119"/>
    </row>
    <row r="26" spans="1:26" ht="16" thickBot="1">
      <c r="A26">
        <v>1</v>
      </c>
      <c r="B26">
        <v>2</v>
      </c>
      <c r="C26">
        <v>5.2</v>
      </c>
      <c r="D26" t="s">
        <v>122</v>
      </c>
      <c r="E26" s="106">
        <f>Summary!C6</f>
        <v>270</v>
      </c>
      <c r="F26" s="101">
        <f>E26/1000</f>
        <v>0.27</v>
      </c>
      <c r="G26" s="16">
        <f>G17</f>
        <v>4.3999999999999997E-2</v>
      </c>
      <c r="H26" s="101">
        <f>F26/G26</f>
        <v>6.1363636363636367</v>
      </c>
      <c r="T26" s="9">
        <f>H26</f>
        <v>6.1363636363636367</v>
      </c>
      <c r="U26" s="141"/>
      <c r="V26" s="109"/>
      <c r="W26" s="76"/>
      <c r="X26" s="108"/>
      <c r="Y26" s="71"/>
      <c r="Z26" s="122" t="s">
        <v>90</v>
      </c>
    </row>
    <row r="27" spans="1:26">
      <c r="A27">
        <v>1</v>
      </c>
      <c r="B27">
        <v>2</v>
      </c>
      <c r="C27" s="219">
        <v>6.1</v>
      </c>
      <c r="D27" t="s">
        <v>121</v>
      </c>
      <c r="E27" s="16">
        <f>E$17</f>
        <v>100</v>
      </c>
      <c r="F27" s="101">
        <f>E27/1000</f>
        <v>0.1</v>
      </c>
      <c r="G27" s="16">
        <f>G17</f>
        <v>4.3999999999999997E-2</v>
      </c>
      <c r="H27" s="101">
        <f>F27/G27</f>
        <v>2.2727272727272729</v>
      </c>
      <c r="I27" s="15">
        <f>I$17</f>
        <v>568</v>
      </c>
      <c r="J27" s="6"/>
      <c r="P27" s="19">
        <f>P$17</f>
        <v>600</v>
      </c>
      <c r="S27" s="1">
        <f>I27/P27</f>
        <v>0.94666666666666666</v>
      </c>
      <c r="T27" s="9">
        <f>H27*S27</f>
        <v>2.1515151515151518</v>
      </c>
      <c r="U27" s="141"/>
      <c r="V27" s="109"/>
      <c r="W27" s="76"/>
      <c r="X27" s="108"/>
      <c r="Y27" s="71"/>
      <c r="Z27" s="119"/>
    </row>
    <row r="28" spans="1:26">
      <c r="A28">
        <v>1</v>
      </c>
      <c r="B28">
        <v>2</v>
      </c>
      <c r="C28" s="219">
        <v>6.2</v>
      </c>
      <c r="D28" s="19" t="str">
        <f>D$18</f>
        <v>32 x 75 timber joists at 600 mm centres</v>
      </c>
      <c r="E28" s="16">
        <f>E18</f>
        <v>100</v>
      </c>
      <c r="F28" s="101">
        <f>E28/1000</f>
        <v>0.1</v>
      </c>
      <c r="G28" s="16">
        <f>G9</f>
        <v>0.13</v>
      </c>
      <c r="H28" s="101">
        <f>F28/G28</f>
        <v>0.76923076923076927</v>
      </c>
      <c r="I28" s="16">
        <f>I$18</f>
        <v>32</v>
      </c>
      <c r="P28" s="19">
        <f>P$18</f>
        <v>600</v>
      </c>
      <c r="S28" s="1">
        <f>I28/P28</f>
        <v>5.3333333333333337E-2</v>
      </c>
      <c r="T28" s="9">
        <f>H28*S28</f>
        <v>4.1025641025641033E-2</v>
      </c>
      <c r="U28" s="141"/>
      <c r="V28" s="109" t="s">
        <v>29</v>
      </c>
      <c r="W28" s="76" t="s">
        <v>30</v>
      </c>
      <c r="X28" s="109" t="s">
        <v>29</v>
      </c>
      <c r="Y28" s="76" t="s">
        <v>30</v>
      </c>
      <c r="Z28" s="123" t="s">
        <v>97</v>
      </c>
    </row>
    <row r="29" spans="1:26">
      <c r="A29">
        <v>1</v>
      </c>
      <c r="B29">
        <v>2</v>
      </c>
      <c r="C29">
        <v>8</v>
      </c>
      <c r="D29" t="s">
        <v>8</v>
      </c>
      <c r="E29" s="16">
        <f>E19</f>
        <v>12.5</v>
      </c>
      <c r="F29" s="101">
        <f>E29/1000</f>
        <v>1.2500000000000001E-2</v>
      </c>
      <c r="G29" s="16">
        <f>G10</f>
        <v>0.25</v>
      </c>
      <c r="H29" s="101">
        <f>F29/G29</f>
        <v>0.05</v>
      </c>
      <c r="T29" s="9">
        <f>H29</f>
        <v>0.05</v>
      </c>
      <c r="U29" s="141"/>
      <c r="V29" s="109"/>
      <c r="W29" s="76"/>
      <c r="X29" s="108"/>
      <c r="Y29" s="71"/>
      <c r="Z29" s="123" t="s">
        <v>95</v>
      </c>
    </row>
    <row r="30" spans="1:26">
      <c r="A30">
        <v>1</v>
      </c>
      <c r="B30">
        <v>2</v>
      </c>
      <c r="C30">
        <v>9</v>
      </c>
      <c r="D30" t="s">
        <v>3</v>
      </c>
      <c r="E30" s="2" t="s">
        <v>9</v>
      </c>
      <c r="F30" s="2" t="s">
        <v>9</v>
      </c>
      <c r="G30" s="2" t="s">
        <v>9</v>
      </c>
      <c r="H30" s="101">
        <f>H11</f>
        <v>0.1</v>
      </c>
      <c r="T30" s="9">
        <f>H30</f>
        <v>0.1</v>
      </c>
      <c r="U30" s="141"/>
      <c r="V30" s="109"/>
      <c r="W30" s="76"/>
      <c r="X30" s="108"/>
      <c r="Y30" s="74"/>
      <c r="Z30" s="150" t="s">
        <v>96</v>
      </c>
    </row>
    <row r="31" spans="1:26">
      <c r="A31">
        <v>1</v>
      </c>
      <c r="B31">
        <v>2</v>
      </c>
      <c r="C31" s="5">
        <v>10</v>
      </c>
      <c r="D31" t="s">
        <v>15</v>
      </c>
      <c r="E31" s="2" t="s">
        <v>9</v>
      </c>
      <c r="F31" s="2" t="s">
        <v>9</v>
      </c>
      <c r="G31" s="2" t="s">
        <v>9</v>
      </c>
      <c r="H31" s="29">
        <f>SUM(H24:H30)</f>
        <v>9.5683216783216807</v>
      </c>
      <c r="T31" s="14">
        <f>SUM(T24:T30)</f>
        <v>8.7189044289044304</v>
      </c>
      <c r="U31" s="141"/>
      <c r="V31" s="136">
        <v>0.12239999999999999</v>
      </c>
      <c r="W31" s="137">
        <v>0.1147</v>
      </c>
      <c r="X31" s="108">
        <v>0.93</v>
      </c>
      <c r="Y31" s="71">
        <v>0.91</v>
      </c>
    </row>
    <row r="32" spans="1:26">
      <c r="A32">
        <v>1</v>
      </c>
      <c r="B32">
        <v>2</v>
      </c>
      <c r="C32" s="5">
        <v>11</v>
      </c>
      <c r="E32" s="2" t="s">
        <v>9</v>
      </c>
      <c r="F32" s="2" t="s">
        <v>9</v>
      </c>
      <c r="G32" s="2" t="s">
        <v>9</v>
      </c>
      <c r="H32" s="8"/>
      <c r="J32" s="2"/>
      <c r="L32" s="2"/>
      <c r="M32" s="2"/>
      <c r="O32" s="26"/>
      <c r="P32" s="2"/>
      <c r="Q32" s="2"/>
      <c r="R32" s="26"/>
      <c r="S32" s="23"/>
      <c r="U32" s="142">
        <f>1/T31</f>
        <v>0.11469330902227294</v>
      </c>
      <c r="V32" s="143">
        <f>IF(E28=75,U32,0)</f>
        <v>0</v>
      </c>
      <c r="W32" s="144">
        <f>IF(E28=100,U32,0)</f>
        <v>0.11469330902227294</v>
      </c>
      <c r="X32" s="110">
        <f>IF(E28=75,(T31/H31),0)</f>
        <v>0</v>
      </c>
      <c r="Y32" s="82">
        <f>IF(E28=100,(T31/H31),0)</f>
        <v>0.91122609816288691</v>
      </c>
    </row>
    <row r="33" spans="1:26" ht="45">
      <c r="A33" s="32">
        <v>1</v>
      </c>
      <c r="B33" s="33">
        <v>3</v>
      </c>
      <c r="C33" s="33">
        <v>0</v>
      </c>
      <c r="D33" s="111" t="s">
        <v>132</v>
      </c>
      <c r="E33" s="34"/>
      <c r="F33" s="34"/>
      <c r="G33" s="34"/>
      <c r="H33" s="35"/>
      <c r="I33" s="34"/>
      <c r="J33" s="33"/>
      <c r="K33" s="34"/>
      <c r="L33" s="33"/>
      <c r="M33" s="33"/>
      <c r="N33" s="34"/>
      <c r="O33" s="36"/>
      <c r="P33" s="33"/>
      <c r="Q33" s="33"/>
      <c r="R33" s="36"/>
      <c r="S33" s="37"/>
      <c r="T33" s="38"/>
      <c r="U33" s="145"/>
      <c r="V33" s="134"/>
      <c r="W33" s="135"/>
      <c r="X33" s="75"/>
      <c r="Y33" s="70"/>
      <c r="Z33" s="117" t="s">
        <v>129</v>
      </c>
    </row>
    <row r="34" spans="1:26">
      <c r="A34" s="46">
        <v>1</v>
      </c>
      <c r="B34" s="40">
        <v>3</v>
      </c>
      <c r="C34" s="40">
        <v>1</v>
      </c>
      <c r="D34" s="40" t="s">
        <v>4</v>
      </c>
      <c r="E34" s="10" t="s">
        <v>9</v>
      </c>
      <c r="F34" s="10" t="s">
        <v>9</v>
      </c>
      <c r="G34" s="10" t="s">
        <v>9</v>
      </c>
      <c r="H34" s="102">
        <f>H7</f>
        <v>0.04</v>
      </c>
      <c r="I34" s="10"/>
      <c r="J34" s="40"/>
      <c r="K34" s="10"/>
      <c r="L34" s="40"/>
      <c r="M34" s="40"/>
      <c r="N34" s="10"/>
      <c r="O34" s="42"/>
      <c r="P34" s="40"/>
      <c r="Q34" s="40"/>
      <c r="R34" s="42"/>
      <c r="S34" s="43"/>
      <c r="T34" s="44">
        <f>H34</f>
        <v>0.04</v>
      </c>
      <c r="U34" s="146"/>
      <c r="V34" s="109"/>
      <c r="W34" s="76"/>
      <c r="X34" s="74"/>
      <c r="Y34" s="71"/>
      <c r="Z34" s="119"/>
    </row>
    <row r="35" spans="1:26" ht="16" thickBot="1">
      <c r="A35" s="46">
        <v>1</v>
      </c>
      <c r="B35" s="40">
        <v>3</v>
      </c>
      <c r="C35" s="40">
        <v>2</v>
      </c>
      <c r="D35" s="45" t="s">
        <v>24</v>
      </c>
      <c r="E35" s="10" t="s">
        <v>9</v>
      </c>
      <c r="F35" s="10" t="s">
        <v>9</v>
      </c>
      <c r="G35" s="10" t="s">
        <v>9</v>
      </c>
      <c r="H35" s="102">
        <f>H8</f>
        <v>0.2</v>
      </c>
      <c r="I35" s="10"/>
      <c r="J35" s="40"/>
      <c r="K35" s="10"/>
      <c r="L35" s="40"/>
      <c r="M35" s="40"/>
      <c r="N35" s="10"/>
      <c r="O35" s="42"/>
      <c r="P35" s="40"/>
      <c r="Q35" s="40"/>
      <c r="R35" s="42"/>
      <c r="S35" s="43"/>
      <c r="T35" s="44">
        <f>H35</f>
        <v>0.2</v>
      </c>
      <c r="U35" s="146"/>
      <c r="V35" s="109"/>
      <c r="W35" s="76"/>
      <c r="X35" s="74"/>
      <c r="Y35" s="71"/>
      <c r="Z35" s="119"/>
    </row>
    <row r="36" spans="1:26" ht="16" thickBot="1">
      <c r="A36" s="46">
        <v>1</v>
      </c>
      <c r="B36" s="40">
        <v>3</v>
      </c>
      <c r="C36" s="40">
        <v>5.2</v>
      </c>
      <c r="D36" s="40" t="s">
        <v>133</v>
      </c>
      <c r="E36" s="52">
        <v>0</v>
      </c>
      <c r="F36" s="102">
        <f>E36/1000</f>
        <v>0</v>
      </c>
      <c r="G36" s="104">
        <f>G37</f>
        <v>8.7999999999999995E-2</v>
      </c>
      <c r="H36" s="102">
        <f>F36/G36</f>
        <v>0</v>
      </c>
      <c r="I36" s="10"/>
      <c r="J36" s="40"/>
      <c r="K36" s="10"/>
      <c r="L36" s="40"/>
      <c r="M36" s="40"/>
      <c r="N36" s="10"/>
      <c r="O36" s="42"/>
      <c r="P36" s="40"/>
      <c r="Q36" s="40"/>
      <c r="R36" s="42"/>
      <c r="S36" s="43"/>
      <c r="T36" s="44">
        <f>H36</f>
        <v>0</v>
      </c>
      <c r="U36" s="146"/>
      <c r="V36" s="109"/>
      <c r="W36" s="76"/>
      <c r="X36" s="74"/>
      <c r="Y36" s="74"/>
      <c r="Z36" s="122" t="s">
        <v>88</v>
      </c>
    </row>
    <row r="37" spans="1:26" ht="16" thickBot="1">
      <c r="A37" s="46">
        <v>1</v>
      </c>
      <c r="B37" s="40">
        <v>3</v>
      </c>
      <c r="C37" s="40">
        <v>6.1</v>
      </c>
      <c r="D37" s="40" t="s">
        <v>134</v>
      </c>
      <c r="E37" s="48">
        <f>E$17</f>
        <v>100</v>
      </c>
      <c r="F37" s="102">
        <f>E37/1000</f>
        <v>0.1</v>
      </c>
      <c r="G37" s="104">
        <f>G17*IF(E17=100,2,IF(E17=75,2.4,1))</f>
        <v>8.7999999999999995E-2</v>
      </c>
      <c r="H37" s="102">
        <f>F37/G37</f>
        <v>1.1363636363636365</v>
      </c>
      <c r="I37" s="55">
        <f>I$17</f>
        <v>568</v>
      </c>
      <c r="J37" s="49"/>
      <c r="K37" s="10"/>
      <c r="L37" s="40"/>
      <c r="M37" s="40"/>
      <c r="N37" s="10"/>
      <c r="O37" s="42"/>
      <c r="P37" s="50">
        <f>P$17</f>
        <v>600</v>
      </c>
      <c r="Q37" s="40"/>
      <c r="R37" s="42"/>
      <c r="S37" s="51">
        <f>I37/P37</f>
        <v>0.94666666666666666</v>
      </c>
      <c r="T37" s="44">
        <f>H37*S37</f>
        <v>1.0757575757575759</v>
      </c>
      <c r="U37" s="146"/>
      <c r="V37" s="109"/>
      <c r="W37" s="76"/>
      <c r="X37" s="74"/>
      <c r="Y37" s="74"/>
      <c r="Z37" s="122" t="s">
        <v>89</v>
      </c>
    </row>
    <row r="38" spans="1:26">
      <c r="A38" s="46">
        <v>1</v>
      </c>
      <c r="B38" s="40">
        <v>3</v>
      </c>
      <c r="C38" s="40">
        <v>6.2</v>
      </c>
      <c r="D38" s="50" t="str">
        <f>D$18</f>
        <v>32 x 75 timber joists at 600 mm centres</v>
      </c>
      <c r="E38" s="48">
        <f>E$18</f>
        <v>100</v>
      </c>
      <c r="F38" s="102">
        <f>E38/1000</f>
        <v>0.1</v>
      </c>
      <c r="G38" s="48">
        <f>G9</f>
        <v>0.13</v>
      </c>
      <c r="H38" s="102">
        <f>F38/G38</f>
        <v>0.76923076923076927</v>
      </c>
      <c r="I38" s="48">
        <f>I$18</f>
        <v>32</v>
      </c>
      <c r="J38" s="40"/>
      <c r="K38" s="10"/>
      <c r="L38" s="40"/>
      <c r="M38" s="40"/>
      <c r="N38" s="10"/>
      <c r="O38" s="42"/>
      <c r="P38" s="50">
        <f>P$18</f>
        <v>600</v>
      </c>
      <c r="Q38" s="40"/>
      <c r="R38" s="42"/>
      <c r="S38" s="51">
        <f>I38/P38</f>
        <v>5.3333333333333337E-2</v>
      </c>
      <c r="T38" s="44">
        <f>H38*S38</f>
        <v>4.1025641025641033E-2</v>
      </c>
      <c r="U38" s="146"/>
      <c r="V38" s="109" t="s">
        <v>29</v>
      </c>
      <c r="W38" s="76" t="s">
        <v>30</v>
      </c>
      <c r="X38" s="73" t="s">
        <v>29</v>
      </c>
      <c r="Y38" s="76" t="s">
        <v>30</v>
      </c>
      <c r="Z38" s="124" t="s">
        <v>97</v>
      </c>
    </row>
    <row r="39" spans="1:26">
      <c r="A39" s="46">
        <v>1</v>
      </c>
      <c r="B39" s="40">
        <v>3</v>
      </c>
      <c r="C39" s="40">
        <v>8</v>
      </c>
      <c r="D39" s="40" t="s">
        <v>8</v>
      </c>
      <c r="E39" s="48">
        <f>E19</f>
        <v>12.5</v>
      </c>
      <c r="F39" s="102">
        <f>E39/1000</f>
        <v>1.2500000000000001E-2</v>
      </c>
      <c r="G39" s="48">
        <f>G10</f>
        <v>0.25</v>
      </c>
      <c r="H39" s="102">
        <f>F39/G39</f>
        <v>0.05</v>
      </c>
      <c r="I39" s="10"/>
      <c r="J39" s="40"/>
      <c r="K39" s="10"/>
      <c r="L39" s="40"/>
      <c r="M39" s="40"/>
      <c r="N39" s="10"/>
      <c r="O39" s="42"/>
      <c r="P39" s="40"/>
      <c r="Q39" s="40"/>
      <c r="R39" s="42"/>
      <c r="S39" s="43"/>
      <c r="T39" s="44">
        <f>H39</f>
        <v>0.05</v>
      </c>
      <c r="U39" s="146"/>
      <c r="V39" s="109"/>
      <c r="W39" s="76"/>
      <c r="X39" s="74"/>
      <c r="Y39" s="71"/>
      <c r="Z39" s="123" t="s">
        <v>99</v>
      </c>
    </row>
    <row r="40" spans="1:26">
      <c r="A40" s="46">
        <v>1</v>
      </c>
      <c r="B40" s="40">
        <v>3</v>
      </c>
      <c r="C40" s="40">
        <v>9</v>
      </c>
      <c r="D40" s="40" t="s">
        <v>3</v>
      </c>
      <c r="E40" s="10" t="s">
        <v>9</v>
      </c>
      <c r="F40" s="10" t="s">
        <v>9</v>
      </c>
      <c r="G40" s="10" t="s">
        <v>9</v>
      </c>
      <c r="H40" s="102">
        <f>H11</f>
        <v>0.1</v>
      </c>
      <c r="I40" s="10"/>
      <c r="J40" s="40"/>
      <c r="K40" s="10"/>
      <c r="L40" s="40"/>
      <c r="M40" s="40"/>
      <c r="N40" s="10"/>
      <c r="O40" s="42"/>
      <c r="P40" s="40"/>
      <c r="Q40" s="40"/>
      <c r="R40" s="42"/>
      <c r="S40" s="43"/>
      <c r="T40" s="44">
        <f>H40</f>
        <v>0.1</v>
      </c>
      <c r="U40" s="146"/>
      <c r="V40" s="109"/>
      <c r="W40" s="76"/>
      <c r="X40" s="74"/>
      <c r="Y40" s="74"/>
      <c r="Z40" s="150" t="s">
        <v>98</v>
      </c>
    </row>
    <row r="41" spans="1:26">
      <c r="A41" s="46">
        <v>1</v>
      </c>
      <c r="B41" s="40">
        <v>3</v>
      </c>
      <c r="C41" s="41">
        <v>10</v>
      </c>
      <c r="D41" s="40" t="s">
        <v>15</v>
      </c>
      <c r="E41" s="10" t="s">
        <v>9</v>
      </c>
      <c r="F41" s="10" t="s">
        <v>9</v>
      </c>
      <c r="G41" s="10" t="s">
        <v>9</v>
      </c>
      <c r="H41" s="12">
        <f>SUM(H34:H40)</f>
        <v>2.2955944055944055</v>
      </c>
      <c r="I41" s="10"/>
      <c r="J41" s="40"/>
      <c r="K41" s="10"/>
      <c r="L41" s="40"/>
      <c r="M41" s="40"/>
      <c r="N41" s="10"/>
      <c r="O41" s="42"/>
      <c r="P41" s="40"/>
      <c r="Q41" s="40"/>
      <c r="R41" s="42"/>
      <c r="S41" s="43"/>
      <c r="T41" s="13">
        <f>SUM(T34:T40)</f>
        <v>1.5067832167832171</v>
      </c>
      <c r="U41" s="146"/>
      <c r="V41" s="109">
        <v>0.91479999999999995</v>
      </c>
      <c r="W41" s="76">
        <v>0.66369999999999996</v>
      </c>
      <c r="X41" s="74">
        <v>0.65</v>
      </c>
      <c r="Y41" s="71">
        <v>0.66</v>
      </c>
    </row>
    <row r="42" spans="1:26">
      <c r="A42" s="66">
        <v>1</v>
      </c>
      <c r="B42" s="57">
        <v>3</v>
      </c>
      <c r="C42" s="58">
        <v>11</v>
      </c>
      <c r="D42" s="57"/>
      <c r="E42" s="59" t="s">
        <v>9</v>
      </c>
      <c r="F42" s="59" t="s">
        <v>9</v>
      </c>
      <c r="G42" s="59" t="s">
        <v>9</v>
      </c>
      <c r="H42" s="65"/>
      <c r="I42" s="59"/>
      <c r="J42" s="59"/>
      <c r="K42" s="59"/>
      <c r="L42" s="59"/>
      <c r="M42" s="59"/>
      <c r="N42" s="59"/>
      <c r="O42" s="67"/>
      <c r="P42" s="59"/>
      <c r="Q42" s="59"/>
      <c r="R42" s="67"/>
      <c r="S42" s="68"/>
      <c r="T42" s="64"/>
      <c r="U42" s="138">
        <f>1/T41</f>
        <v>0.66366547547222332</v>
      </c>
      <c r="V42" s="139">
        <f>IF(E38=75,U42,0)</f>
        <v>0</v>
      </c>
      <c r="W42" s="140">
        <f>IF(E38=100,U42,0)</f>
        <v>0.66366547547222332</v>
      </c>
      <c r="X42" s="81">
        <f>IF(E38=75,(T41/H41),0)</f>
        <v>0</v>
      </c>
      <c r="Y42" s="82">
        <f>IF(E38=100,(T41/H41),0)</f>
        <v>0.65638041855789464</v>
      </c>
    </row>
    <row r="43" spans="1:26" ht="45">
      <c r="A43">
        <v>1</v>
      </c>
      <c r="B43">
        <v>4</v>
      </c>
      <c r="C43">
        <v>0</v>
      </c>
      <c r="D43" s="112" t="s">
        <v>78</v>
      </c>
      <c r="E43" s="2"/>
      <c r="F43" s="2"/>
      <c r="G43" s="2"/>
      <c r="H43" s="8"/>
      <c r="U43" s="141"/>
      <c r="V43" s="109"/>
      <c r="W43" s="76"/>
      <c r="X43" s="74"/>
      <c r="Y43" s="71"/>
      <c r="Z43" s="117" t="s">
        <v>130</v>
      </c>
    </row>
    <row r="44" spans="1:26">
      <c r="A44" s="5">
        <v>1</v>
      </c>
      <c r="B44" s="5">
        <v>4</v>
      </c>
      <c r="C44" s="5">
        <v>1</v>
      </c>
      <c r="D44" s="113" t="s">
        <v>4</v>
      </c>
      <c r="E44" s="2" t="s">
        <v>9</v>
      </c>
      <c r="F44" s="2" t="s">
        <v>9</v>
      </c>
      <c r="G44" s="2" t="s">
        <v>9</v>
      </c>
      <c r="H44" s="101">
        <f>H7</f>
        <v>0.04</v>
      </c>
      <c r="T44" s="9">
        <f>H44</f>
        <v>0.04</v>
      </c>
      <c r="U44" s="141"/>
      <c r="V44" s="109"/>
      <c r="W44" s="76"/>
      <c r="X44" s="74"/>
      <c r="Y44" s="71"/>
      <c r="Z44" s="119"/>
    </row>
    <row r="45" spans="1:26">
      <c r="A45" s="5">
        <v>1</v>
      </c>
      <c r="B45" s="5">
        <v>4</v>
      </c>
      <c r="C45" s="5">
        <v>2</v>
      </c>
      <c r="D45" s="11" t="s">
        <v>24</v>
      </c>
      <c r="E45" s="2" t="s">
        <v>9</v>
      </c>
      <c r="F45" s="2" t="s">
        <v>9</v>
      </c>
      <c r="G45" s="2" t="s">
        <v>9</v>
      </c>
      <c r="H45" s="101">
        <f>H8</f>
        <v>0.2</v>
      </c>
      <c r="T45" s="9">
        <f>H45</f>
        <v>0.2</v>
      </c>
      <c r="U45" s="141"/>
      <c r="V45" s="109"/>
      <c r="W45" s="76"/>
      <c r="X45" s="74"/>
      <c r="Y45" s="71"/>
      <c r="Z45" s="119"/>
    </row>
    <row r="46" spans="1:26">
      <c r="A46">
        <v>1</v>
      </c>
      <c r="B46" s="5">
        <v>4</v>
      </c>
      <c r="C46" s="5">
        <v>3</v>
      </c>
      <c r="D46" t="s">
        <v>135</v>
      </c>
      <c r="E46" s="100">
        <v>18</v>
      </c>
      <c r="F46" s="101">
        <f t="shared" ref="F46:F52" si="0">E46/1000</f>
        <v>1.7999999999999999E-2</v>
      </c>
      <c r="G46" s="16">
        <f>G9</f>
        <v>0.13</v>
      </c>
      <c r="H46" s="101">
        <f t="shared" ref="H46:H52" si="1">F46/G46</f>
        <v>0.13846153846153844</v>
      </c>
      <c r="T46" s="9">
        <f>H46</f>
        <v>0.13846153846153844</v>
      </c>
      <c r="U46" s="141"/>
      <c r="V46" s="109"/>
      <c r="W46" s="76"/>
      <c r="X46" s="74"/>
      <c r="Y46" s="71"/>
      <c r="Z46" s="125" t="s">
        <v>153</v>
      </c>
    </row>
    <row r="47" spans="1:26">
      <c r="A47">
        <v>1</v>
      </c>
      <c r="B47" s="5">
        <v>4</v>
      </c>
      <c r="C47" s="5">
        <v>4</v>
      </c>
      <c r="D47" t="s">
        <v>77</v>
      </c>
      <c r="E47" s="203">
        <f>Summary!C10</f>
        <v>29</v>
      </c>
      <c r="F47" s="101">
        <f t="shared" si="0"/>
        <v>2.9000000000000001E-2</v>
      </c>
      <c r="G47" s="105">
        <v>0.16</v>
      </c>
      <c r="H47" s="101">
        <f t="shared" si="1"/>
        <v>0.18124999999999999</v>
      </c>
      <c r="T47" s="9">
        <f>H47</f>
        <v>0.18124999999999999</v>
      </c>
      <c r="U47" s="141"/>
      <c r="V47" s="109"/>
      <c r="W47" s="76"/>
      <c r="X47" s="74"/>
      <c r="Y47" s="71"/>
      <c r="Z47" s="118" t="s">
        <v>94</v>
      </c>
    </row>
    <row r="48" spans="1:26">
      <c r="A48">
        <v>1</v>
      </c>
      <c r="B48" s="5">
        <v>4</v>
      </c>
      <c r="C48" s="5">
        <v>5.0999999999999996</v>
      </c>
      <c r="D48" t="s">
        <v>1</v>
      </c>
      <c r="E48" s="16">
        <f>E47+E49</f>
        <v>299</v>
      </c>
      <c r="F48" s="101">
        <f t="shared" si="0"/>
        <v>0.29899999999999999</v>
      </c>
      <c r="G48" s="16">
        <f>G18</f>
        <v>0.13</v>
      </c>
      <c r="H48" s="101">
        <f t="shared" si="1"/>
        <v>2.2999999999999998</v>
      </c>
      <c r="I48" s="100">
        <v>50</v>
      </c>
      <c r="K48" s="100">
        <v>50</v>
      </c>
      <c r="N48" s="100">
        <v>1</v>
      </c>
      <c r="O48" s="84">
        <f>I48*K48</f>
        <v>2500</v>
      </c>
      <c r="P48" s="50">
        <f>Summary!C5</f>
        <v>600</v>
      </c>
      <c r="Q48" s="115">
        <v>600</v>
      </c>
      <c r="R48" s="84">
        <f>P48*Q48</f>
        <v>360000</v>
      </c>
      <c r="S48" s="88">
        <f>O48/R48</f>
        <v>6.9444444444444441E-3</v>
      </c>
      <c r="T48" s="9">
        <f>H48*S48</f>
        <v>1.5972222222222221E-2</v>
      </c>
      <c r="U48" s="141"/>
      <c r="V48" s="240" t="s">
        <v>145</v>
      </c>
      <c r="W48" s="241"/>
      <c r="X48" s="242" t="s">
        <v>146</v>
      </c>
      <c r="Y48" s="243"/>
      <c r="Z48" s="119" t="s">
        <v>93</v>
      </c>
    </row>
    <row r="49" spans="1:26">
      <c r="A49" s="5">
        <v>1</v>
      </c>
      <c r="B49" s="5">
        <v>4</v>
      </c>
      <c r="C49" s="5">
        <v>5.2</v>
      </c>
      <c r="D49" s="5" t="s">
        <v>123</v>
      </c>
      <c r="E49" s="152">
        <f>Summary!C6</f>
        <v>270</v>
      </c>
      <c r="F49" s="101">
        <f t="shared" si="0"/>
        <v>0.27</v>
      </c>
      <c r="G49" s="15">
        <f>G17</f>
        <v>4.3999999999999997E-2</v>
      </c>
      <c r="H49" s="101">
        <f t="shared" si="1"/>
        <v>6.1363636363636367</v>
      </c>
      <c r="I49" s="16">
        <f>Summary!C5</f>
        <v>600</v>
      </c>
      <c r="K49" s="16">
        <f>I49</f>
        <v>600</v>
      </c>
      <c r="M49" s="19">
        <f>E49</f>
        <v>270</v>
      </c>
      <c r="O49" s="84">
        <f>R48-O48</f>
        <v>357500</v>
      </c>
      <c r="P49" s="19">
        <f>P$18</f>
        <v>600</v>
      </c>
      <c r="Q49" s="19">
        <f>Q48</f>
        <v>600</v>
      </c>
      <c r="R49" s="84">
        <f>P49*Q49</f>
        <v>360000</v>
      </c>
      <c r="S49" s="88">
        <f>O49/R49</f>
        <v>0.99305555555555558</v>
      </c>
      <c r="T49" s="9">
        <f>H49*S49</f>
        <v>6.0937500000000009</v>
      </c>
      <c r="U49" s="141"/>
      <c r="V49" s="109"/>
      <c r="W49" s="76"/>
      <c r="X49" s="74"/>
      <c r="Y49" s="71"/>
      <c r="Z49" s="119"/>
    </row>
    <row r="50" spans="1:26">
      <c r="A50" s="5">
        <v>1</v>
      </c>
      <c r="B50" s="5">
        <v>4</v>
      </c>
      <c r="C50">
        <v>6.1</v>
      </c>
      <c r="D50" s="5" t="s">
        <v>121</v>
      </c>
      <c r="E50" s="16">
        <f>E$17</f>
        <v>100</v>
      </c>
      <c r="F50" s="101">
        <f t="shared" si="0"/>
        <v>0.1</v>
      </c>
      <c r="G50" s="15">
        <f>G17</f>
        <v>4.3999999999999997E-2</v>
      </c>
      <c r="H50" s="101">
        <f t="shared" si="1"/>
        <v>2.2727272727272729</v>
      </c>
      <c r="I50" s="15">
        <f>I$17</f>
        <v>568</v>
      </c>
      <c r="J50" s="6"/>
      <c r="P50" s="19">
        <f>P$18</f>
        <v>600</v>
      </c>
      <c r="S50" s="88">
        <f>I50/P50</f>
        <v>0.94666666666666666</v>
      </c>
      <c r="T50" s="9">
        <f>H50*S50</f>
        <v>2.1515151515151518</v>
      </c>
      <c r="U50" s="141"/>
      <c r="V50" s="109"/>
      <c r="W50" s="76"/>
      <c r="X50" s="74"/>
      <c r="Y50" s="71"/>
      <c r="Z50" s="119"/>
    </row>
    <row r="51" spans="1:26">
      <c r="A51" s="5">
        <v>1</v>
      </c>
      <c r="B51" s="5">
        <v>4</v>
      </c>
      <c r="C51">
        <v>6.2</v>
      </c>
      <c r="D51" s="19" t="str">
        <f>D$18</f>
        <v>32 x 75 timber joists at 600 mm centres</v>
      </c>
      <c r="E51" s="16">
        <f>E$18</f>
        <v>100</v>
      </c>
      <c r="F51" s="101">
        <f t="shared" si="0"/>
        <v>0.1</v>
      </c>
      <c r="G51" s="16">
        <f>G18</f>
        <v>0.13</v>
      </c>
      <c r="H51" s="101">
        <f t="shared" si="1"/>
        <v>0.76923076923076927</v>
      </c>
      <c r="I51" s="16">
        <f>I$18</f>
        <v>32</v>
      </c>
      <c r="P51" s="19">
        <f>P$18</f>
        <v>600</v>
      </c>
      <c r="S51" s="88">
        <f>I51/P51</f>
        <v>5.3333333333333337E-2</v>
      </c>
      <c r="T51" s="9">
        <f>H51*S51</f>
        <v>4.1025641025641033E-2</v>
      </c>
      <c r="U51" s="141"/>
      <c r="V51" s="109" t="s">
        <v>29</v>
      </c>
      <c r="W51" s="76" t="s">
        <v>30</v>
      </c>
      <c r="X51" s="73" t="s">
        <v>29</v>
      </c>
      <c r="Y51" s="76" t="s">
        <v>30</v>
      </c>
      <c r="Z51" s="119"/>
    </row>
    <row r="52" spans="1:26">
      <c r="A52" s="5">
        <v>1</v>
      </c>
      <c r="B52" s="5">
        <v>4</v>
      </c>
      <c r="C52" s="5">
        <v>8</v>
      </c>
      <c r="D52" s="5" t="s">
        <v>8</v>
      </c>
      <c r="E52" s="15">
        <f>E19</f>
        <v>12.5</v>
      </c>
      <c r="F52" s="101">
        <f t="shared" si="0"/>
        <v>1.2500000000000001E-2</v>
      </c>
      <c r="G52" s="16">
        <f>G19</f>
        <v>0.25</v>
      </c>
      <c r="H52" s="101">
        <f t="shared" si="1"/>
        <v>0.05</v>
      </c>
      <c r="T52" s="9">
        <f>H52</f>
        <v>0.05</v>
      </c>
      <c r="U52" s="141"/>
      <c r="V52" s="109"/>
      <c r="W52" s="76"/>
      <c r="X52" s="74"/>
      <c r="Y52" s="71"/>
      <c r="Z52" s="119"/>
    </row>
    <row r="53" spans="1:26">
      <c r="A53" s="5">
        <v>1</v>
      </c>
      <c r="B53" s="5">
        <v>4</v>
      </c>
      <c r="C53" s="5">
        <v>9</v>
      </c>
      <c r="D53" s="5" t="s">
        <v>3</v>
      </c>
      <c r="E53" s="2" t="s">
        <v>9</v>
      </c>
      <c r="F53" s="2" t="s">
        <v>9</v>
      </c>
      <c r="G53" s="2" t="s">
        <v>9</v>
      </c>
      <c r="H53" s="101">
        <f>H11</f>
        <v>0.1</v>
      </c>
      <c r="T53" s="9">
        <f>H53</f>
        <v>0.1</v>
      </c>
      <c r="U53" s="141"/>
      <c r="V53" s="109"/>
      <c r="W53" s="76"/>
      <c r="X53" s="74"/>
      <c r="Y53" s="71"/>
      <c r="Z53" s="119"/>
    </row>
    <row r="54" spans="1:26">
      <c r="A54" s="5">
        <v>1</v>
      </c>
      <c r="B54" s="5">
        <v>4</v>
      </c>
      <c r="C54" s="5">
        <v>10</v>
      </c>
      <c r="D54" s="5" t="s">
        <v>15</v>
      </c>
      <c r="E54" s="2" t="s">
        <v>9</v>
      </c>
      <c r="F54" s="2" t="s">
        <v>9</v>
      </c>
      <c r="G54" s="2" t="s">
        <v>9</v>
      </c>
      <c r="H54" s="30">
        <f>SUM(H46:H53)</f>
        <v>11.948033216783218</v>
      </c>
      <c r="T54" s="14">
        <f>SUM(T44:T53)</f>
        <v>9.0119745532245545</v>
      </c>
      <c r="U54" s="141"/>
      <c r="V54" s="109">
        <v>0.1181</v>
      </c>
      <c r="W54" s="137">
        <v>0.111</v>
      </c>
      <c r="X54" s="74">
        <v>0.76</v>
      </c>
      <c r="Y54" s="71">
        <v>0.75</v>
      </c>
      <c r="Z54" s="119"/>
    </row>
    <row r="55" spans="1:26">
      <c r="A55" s="5">
        <v>1</v>
      </c>
      <c r="B55" s="5">
        <v>4</v>
      </c>
      <c r="C55" s="5">
        <v>11</v>
      </c>
      <c r="D55" s="5"/>
      <c r="E55" s="2" t="s">
        <v>9</v>
      </c>
      <c r="F55" s="2" t="s">
        <v>9</v>
      </c>
      <c r="G55" s="2" t="s">
        <v>9</v>
      </c>
      <c r="H55" s="31"/>
      <c r="U55" s="142">
        <f>1/T54</f>
        <v>0.11096347355332825</v>
      </c>
      <c r="V55" s="143">
        <f>IF(E51=75,U55,0)</f>
        <v>0</v>
      </c>
      <c r="W55" s="144">
        <f>IF(E51=100,U55,0)</f>
        <v>0.11096347355332825</v>
      </c>
      <c r="X55" s="89">
        <f>IF(E51=75,(T54/H54),0)</f>
        <v>0</v>
      </c>
      <c r="Y55" s="90">
        <f>IF(E51=100,(T54/H54),0)</f>
        <v>0.7542642700863581</v>
      </c>
      <c r="Z55" s="120"/>
    </row>
    <row r="56" spans="1:26" ht="45">
      <c r="A56" s="32">
        <v>1</v>
      </c>
      <c r="B56" s="33">
        <v>5</v>
      </c>
      <c r="C56" s="33">
        <v>0</v>
      </c>
      <c r="D56" s="111" t="s">
        <v>144</v>
      </c>
      <c r="E56" s="34"/>
      <c r="F56" s="34"/>
      <c r="G56" s="34"/>
      <c r="H56" s="35"/>
      <c r="I56" s="34"/>
      <c r="J56" s="33"/>
      <c r="K56" s="34"/>
      <c r="L56" s="33"/>
      <c r="M56" s="33"/>
      <c r="N56" s="34"/>
      <c r="O56" s="36"/>
      <c r="P56" s="33"/>
      <c r="Q56" s="33"/>
      <c r="R56" s="36"/>
      <c r="S56" s="37"/>
      <c r="T56" s="38"/>
      <c r="U56" s="145"/>
      <c r="V56" s="134"/>
      <c r="W56" s="135"/>
      <c r="X56" s="75"/>
      <c r="Y56" s="70"/>
      <c r="Z56" s="126" t="s">
        <v>152</v>
      </c>
    </row>
    <row r="57" spans="1:26">
      <c r="A57" s="39">
        <v>1</v>
      </c>
      <c r="B57" s="41">
        <v>5</v>
      </c>
      <c r="C57" s="41">
        <v>1</v>
      </c>
      <c r="D57" s="41" t="s">
        <v>4</v>
      </c>
      <c r="E57" s="10" t="s">
        <v>9</v>
      </c>
      <c r="F57" s="10" t="s">
        <v>9</v>
      </c>
      <c r="G57" s="10" t="s">
        <v>9</v>
      </c>
      <c r="H57" s="102">
        <f>H7</f>
        <v>0.04</v>
      </c>
      <c r="I57" s="10"/>
      <c r="J57" s="40"/>
      <c r="K57" s="10"/>
      <c r="L57" s="40"/>
      <c r="M57" s="40"/>
      <c r="N57" s="10"/>
      <c r="O57" s="42"/>
      <c r="P57" s="40"/>
      <c r="Q57" s="40"/>
      <c r="R57" s="42"/>
      <c r="S57" s="43"/>
      <c r="T57" s="44">
        <f>H57</f>
        <v>0.04</v>
      </c>
      <c r="U57" s="146"/>
      <c r="V57" s="109"/>
      <c r="W57" s="76"/>
      <c r="X57" s="74"/>
      <c r="Y57" s="71"/>
      <c r="Z57" s="119"/>
    </row>
    <row r="58" spans="1:26">
      <c r="A58" s="39">
        <v>1</v>
      </c>
      <c r="B58" s="41">
        <v>5</v>
      </c>
      <c r="C58" s="41">
        <v>2</v>
      </c>
      <c r="D58" s="45" t="s">
        <v>24</v>
      </c>
      <c r="E58" s="10" t="s">
        <v>9</v>
      </c>
      <c r="F58" s="10" t="s">
        <v>9</v>
      </c>
      <c r="G58" s="10" t="s">
        <v>9</v>
      </c>
      <c r="H58" s="102">
        <f>H8</f>
        <v>0.2</v>
      </c>
      <c r="I58" s="10"/>
      <c r="J58" s="40"/>
      <c r="K58" s="10"/>
      <c r="L58" s="40"/>
      <c r="M58" s="40"/>
      <c r="N58" s="10"/>
      <c r="O58" s="42"/>
      <c r="P58" s="40"/>
      <c r="Q58" s="40"/>
      <c r="R58" s="42"/>
      <c r="S58" s="43"/>
      <c r="T58" s="44">
        <f>H58</f>
        <v>0.2</v>
      </c>
      <c r="U58" s="146"/>
      <c r="V58" s="109"/>
      <c r="W58" s="76"/>
      <c r="X58" s="74"/>
      <c r="Y58" s="71"/>
      <c r="Z58" s="119"/>
    </row>
    <row r="59" spans="1:26">
      <c r="A59" s="46">
        <v>1</v>
      </c>
      <c r="B59" s="41">
        <v>5</v>
      </c>
      <c r="C59" s="41">
        <v>3</v>
      </c>
      <c r="D59" s="40" t="s">
        <v>135</v>
      </c>
      <c r="E59" s="48">
        <f>E46</f>
        <v>18</v>
      </c>
      <c r="F59" s="102">
        <f t="shared" ref="F59:F64" si="2">E59/1000</f>
        <v>1.7999999999999999E-2</v>
      </c>
      <c r="G59" s="48">
        <f>G46</f>
        <v>0.13</v>
      </c>
      <c r="H59" s="102">
        <f t="shared" ref="H59:H64" si="3">F59/G59</f>
        <v>0.13846153846153844</v>
      </c>
      <c r="I59" s="40"/>
      <c r="J59" s="40"/>
      <c r="K59" s="40"/>
      <c r="L59" s="40"/>
      <c r="M59" s="40"/>
      <c r="N59" s="10"/>
      <c r="O59" s="42"/>
      <c r="P59" s="50">
        <f>Summary!C9</f>
        <v>610</v>
      </c>
      <c r="Q59" s="50">
        <f>P59*2</f>
        <v>1220</v>
      </c>
      <c r="R59" s="42"/>
      <c r="S59" s="43"/>
      <c r="T59" s="44">
        <f>H59</f>
        <v>0.13846153846153844</v>
      </c>
      <c r="U59" s="146"/>
      <c r="V59" s="109"/>
      <c r="W59" s="76"/>
      <c r="X59" s="74"/>
      <c r="Y59" s="71"/>
      <c r="Z59" s="119"/>
    </row>
    <row r="60" spans="1:26">
      <c r="A60" s="46">
        <v>1</v>
      </c>
      <c r="B60" s="41">
        <v>5</v>
      </c>
      <c r="C60" s="41">
        <v>5.0999999999999996</v>
      </c>
      <c r="D60" s="40" t="s">
        <v>148</v>
      </c>
      <c r="E60" s="48">
        <f>E61</f>
        <v>270</v>
      </c>
      <c r="F60" s="102">
        <f t="shared" si="2"/>
        <v>0.27</v>
      </c>
      <c r="G60" s="48">
        <f>G9</f>
        <v>0.13</v>
      </c>
      <c r="H60" s="102">
        <f t="shared" si="3"/>
        <v>2.0769230769230771</v>
      </c>
      <c r="I60" s="100">
        <v>50</v>
      </c>
      <c r="J60" s="40"/>
      <c r="K60" s="10"/>
      <c r="L60" s="40"/>
      <c r="M60" s="40"/>
      <c r="N60" s="10"/>
      <c r="O60" s="42"/>
      <c r="P60" s="204">
        <f>Summary!C9</f>
        <v>610</v>
      </c>
      <c r="Q60" s="40"/>
      <c r="R60" s="42"/>
      <c r="S60" s="87">
        <f>I60/P60</f>
        <v>8.1967213114754092E-2</v>
      </c>
      <c r="T60" s="44">
        <f>H60*S60</f>
        <v>0.17023959646910466</v>
      </c>
      <c r="U60" s="146"/>
      <c r="V60" s="240" t="s">
        <v>147</v>
      </c>
      <c r="W60" s="241"/>
      <c r="X60" s="240" t="s">
        <v>147</v>
      </c>
      <c r="Y60" s="241"/>
      <c r="Z60" s="119"/>
    </row>
    <row r="61" spans="1:26">
      <c r="A61" s="39">
        <v>1</v>
      </c>
      <c r="B61" s="41">
        <v>5</v>
      </c>
      <c r="C61" s="41">
        <v>5.2</v>
      </c>
      <c r="D61" s="41" t="s">
        <v>124</v>
      </c>
      <c r="E61" s="55">
        <f>E49</f>
        <v>270</v>
      </c>
      <c r="F61" s="102">
        <f t="shared" si="2"/>
        <v>0.27</v>
      </c>
      <c r="G61" s="55">
        <f>G17</f>
        <v>4.3999999999999997E-2</v>
      </c>
      <c r="H61" s="102">
        <f t="shared" si="3"/>
        <v>6.1363636363636367</v>
      </c>
      <c r="I61" s="48">
        <f>P61-I60</f>
        <v>560</v>
      </c>
      <c r="J61" s="40"/>
      <c r="K61" s="48">
        <f>P61-K60</f>
        <v>610</v>
      </c>
      <c r="L61" s="40"/>
      <c r="M61" s="50">
        <f>E61</f>
        <v>270</v>
      </c>
      <c r="N61" s="10"/>
      <c r="O61" s="85">
        <f>I61*K61</f>
        <v>341600</v>
      </c>
      <c r="P61" s="50">
        <f>P60</f>
        <v>610</v>
      </c>
      <c r="Q61" s="50">
        <f>Q48</f>
        <v>600</v>
      </c>
      <c r="R61" s="85">
        <f>P61*Q61</f>
        <v>366000</v>
      </c>
      <c r="S61" s="87">
        <f>O61/R61</f>
        <v>0.93333333333333335</v>
      </c>
      <c r="T61" s="44">
        <f>H61*S61</f>
        <v>5.7272727272727275</v>
      </c>
      <c r="U61" s="146"/>
      <c r="V61" s="109"/>
      <c r="W61" s="76"/>
      <c r="X61" s="74"/>
      <c r="Y61" s="71"/>
      <c r="Z61" s="119"/>
    </row>
    <row r="62" spans="1:26">
      <c r="A62" s="39">
        <v>1</v>
      </c>
      <c r="B62" s="41">
        <v>5</v>
      </c>
      <c r="C62" s="40">
        <v>6.1</v>
      </c>
      <c r="D62" s="41" t="s">
        <v>121</v>
      </c>
      <c r="E62" s="48">
        <f>E$17</f>
        <v>100</v>
      </c>
      <c r="F62" s="102">
        <f t="shared" si="2"/>
        <v>0.1</v>
      </c>
      <c r="G62" s="55">
        <f>G17</f>
        <v>4.3999999999999997E-2</v>
      </c>
      <c r="H62" s="102">
        <f t="shared" si="3"/>
        <v>2.2727272727272729</v>
      </c>
      <c r="I62" s="55">
        <f>I$17</f>
        <v>568</v>
      </c>
      <c r="J62" s="49"/>
      <c r="K62" s="10"/>
      <c r="L62" s="40"/>
      <c r="M62" s="40"/>
      <c r="N62" s="10"/>
      <c r="O62" s="42"/>
      <c r="P62" s="50">
        <f>P$18</f>
        <v>600</v>
      </c>
      <c r="Q62" s="40"/>
      <c r="R62" s="42"/>
      <c r="S62" s="87">
        <f>I62/P62</f>
        <v>0.94666666666666666</v>
      </c>
      <c r="T62" s="44">
        <f>H62*S62</f>
        <v>2.1515151515151518</v>
      </c>
      <c r="U62" s="146"/>
      <c r="V62" s="109"/>
      <c r="W62" s="76"/>
      <c r="X62" s="74"/>
      <c r="Y62" s="71"/>
      <c r="Z62" s="119"/>
    </row>
    <row r="63" spans="1:26">
      <c r="A63" s="39">
        <v>1</v>
      </c>
      <c r="B63" s="41">
        <v>5</v>
      </c>
      <c r="C63" s="40">
        <v>6.2</v>
      </c>
      <c r="D63" s="50" t="str">
        <f>D$18</f>
        <v>32 x 75 timber joists at 600 mm centres</v>
      </c>
      <c r="E63" s="48">
        <f>E$18</f>
        <v>100</v>
      </c>
      <c r="F63" s="102">
        <f t="shared" si="2"/>
        <v>0.1</v>
      </c>
      <c r="G63" s="48">
        <f>G9</f>
        <v>0.13</v>
      </c>
      <c r="H63" s="102">
        <f t="shared" si="3"/>
        <v>0.76923076923076927</v>
      </c>
      <c r="I63" s="48">
        <f>I$18</f>
        <v>32</v>
      </c>
      <c r="J63" s="40"/>
      <c r="K63" s="10"/>
      <c r="L63" s="40"/>
      <c r="M63" s="40"/>
      <c r="N63" s="10"/>
      <c r="O63" s="42"/>
      <c r="P63" s="50">
        <f>P$18</f>
        <v>600</v>
      </c>
      <c r="Q63" s="40"/>
      <c r="R63" s="42"/>
      <c r="S63" s="87">
        <f>I63/P63</f>
        <v>5.3333333333333337E-2</v>
      </c>
      <c r="T63" s="44">
        <f>H63*S63</f>
        <v>4.1025641025641033E-2</v>
      </c>
      <c r="U63" s="146"/>
      <c r="V63" s="109" t="s">
        <v>29</v>
      </c>
      <c r="W63" s="76" t="s">
        <v>30</v>
      </c>
      <c r="X63" s="73" t="s">
        <v>29</v>
      </c>
      <c r="Y63" s="76" t="s">
        <v>30</v>
      </c>
      <c r="Z63" s="119"/>
    </row>
    <row r="64" spans="1:26">
      <c r="A64" s="39">
        <v>1</v>
      </c>
      <c r="B64" s="41">
        <v>5</v>
      </c>
      <c r="C64" s="41">
        <v>8</v>
      </c>
      <c r="D64" s="41" t="s">
        <v>8</v>
      </c>
      <c r="E64" s="55">
        <f>E19</f>
        <v>12.5</v>
      </c>
      <c r="F64" s="102">
        <f t="shared" si="2"/>
        <v>1.2500000000000001E-2</v>
      </c>
      <c r="G64" s="48">
        <f>G10</f>
        <v>0.25</v>
      </c>
      <c r="H64" s="102">
        <f t="shared" si="3"/>
        <v>0.05</v>
      </c>
      <c r="I64" s="10"/>
      <c r="J64" s="40"/>
      <c r="K64" s="10"/>
      <c r="L64" s="40"/>
      <c r="M64" s="40"/>
      <c r="N64" s="10"/>
      <c r="O64" s="42"/>
      <c r="P64" s="40"/>
      <c r="Q64" s="40"/>
      <c r="R64" s="42"/>
      <c r="S64" s="43"/>
      <c r="T64" s="44">
        <f>H64</f>
        <v>0.05</v>
      </c>
      <c r="U64" s="146"/>
      <c r="V64" s="109"/>
      <c r="W64" s="76"/>
      <c r="X64" s="74"/>
      <c r="Y64" s="71"/>
      <c r="Z64" s="119"/>
    </row>
    <row r="65" spans="1:26">
      <c r="A65" s="39">
        <v>1</v>
      </c>
      <c r="B65" s="41">
        <v>5</v>
      </c>
      <c r="C65" s="41">
        <v>9</v>
      </c>
      <c r="D65" s="41" t="s">
        <v>3</v>
      </c>
      <c r="E65" s="80" t="s">
        <v>9</v>
      </c>
      <c r="F65" s="10" t="s">
        <v>9</v>
      </c>
      <c r="G65" s="10" t="s">
        <v>9</v>
      </c>
      <c r="H65" s="102">
        <f>H11</f>
        <v>0.1</v>
      </c>
      <c r="I65" s="10"/>
      <c r="J65" s="40"/>
      <c r="K65" s="10"/>
      <c r="L65" s="40"/>
      <c r="M65" s="40"/>
      <c r="N65" s="10"/>
      <c r="O65" s="42"/>
      <c r="P65" s="40"/>
      <c r="Q65" s="40"/>
      <c r="R65" s="42"/>
      <c r="S65" s="43"/>
      <c r="T65" s="44">
        <f>H65</f>
        <v>0.1</v>
      </c>
      <c r="U65" s="146"/>
      <c r="V65" s="109"/>
      <c r="W65" s="76"/>
      <c r="X65" s="74"/>
      <c r="Y65" s="71"/>
      <c r="Z65" s="119"/>
    </row>
    <row r="66" spans="1:26">
      <c r="A66" s="39">
        <v>1</v>
      </c>
      <c r="B66" s="41">
        <v>5</v>
      </c>
      <c r="C66" s="41">
        <v>10</v>
      </c>
      <c r="D66" s="41" t="s">
        <v>15</v>
      </c>
      <c r="E66" s="10" t="s">
        <v>9</v>
      </c>
      <c r="F66" s="10" t="s">
        <v>9</v>
      </c>
      <c r="G66" s="10" t="s">
        <v>9</v>
      </c>
      <c r="H66" s="62">
        <f>SUM(H59:H65)</f>
        <v>11.543706293706295</v>
      </c>
      <c r="I66" s="10"/>
      <c r="J66" s="40"/>
      <c r="K66" s="10"/>
      <c r="L66" s="40"/>
      <c r="M66" s="40"/>
      <c r="N66" s="10"/>
      <c r="O66" s="42"/>
      <c r="P66" s="40"/>
      <c r="Q66" s="40"/>
      <c r="R66" s="42"/>
      <c r="S66" s="43"/>
      <c r="T66" s="13">
        <f>SUM(T57:T65)</f>
        <v>8.618514654744164</v>
      </c>
      <c r="U66" s="146"/>
      <c r="V66" s="109">
        <v>0.1255</v>
      </c>
      <c r="W66" s="76">
        <v>0.11600000000000001</v>
      </c>
      <c r="X66" s="74">
        <v>0.74</v>
      </c>
      <c r="Y66" s="71">
        <v>0.75</v>
      </c>
      <c r="Z66" s="119"/>
    </row>
    <row r="67" spans="1:26">
      <c r="A67" s="56">
        <v>1</v>
      </c>
      <c r="B67" s="58">
        <v>5</v>
      </c>
      <c r="C67" s="58">
        <v>11</v>
      </c>
      <c r="D67" s="58"/>
      <c r="E67" s="59" t="s">
        <v>9</v>
      </c>
      <c r="F67" s="59" t="s">
        <v>9</v>
      </c>
      <c r="G67" s="59" t="s">
        <v>9</v>
      </c>
      <c r="H67" s="63"/>
      <c r="I67" s="59"/>
      <c r="J67" s="57"/>
      <c r="K67" s="59"/>
      <c r="L67" s="57"/>
      <c r="M67" s="57"/>
      <c r="N67" s="59"/>
      <c r="O67" s="60"/>
      <c r="P67" s="57"/>
      <c r="Q67" s="57"/>
      <c r="R67" s="60"/>
      <c r="S67" s="61"/>
      <c r="T67" s="64"/>
      <c r="U67" s="138">
        <f>1/T66</f>
        <v>0.11602927419164254</v>
      </c>
      <c r="V67" s="143">
        <f>IF(E63=75,U67,0)</f>
        <v>0</v>
      </c>
      <c r="W67" s="144">
        <f>IF(E63=100,U67,0)</f>
        <v>0.11602927419164254</v>
      </c>
      <c r="X67" s="89">
        <f>IF(E63=75,(T66/H66),0)</f>
        <v>0</v>
      </c>
      <c r="Y67" s="90">
        <f>IF(E63=100,(T66/H66),0)</f>
        <v>0.74659857375642302</v>
      </c>
      <c r="Z67" s="120"/>
    </row>
    <row r="68" spans="1:26" ht="45">
      <c r="A68">
        <v>1</v>
      </c>
      <c r="B68">
        <v>6</v>
      </c>
      <c r="C68">
        <v>0</v>
      </c>
      <c r="D68" s="112" t="s">
        <v>140</v>
      </c>
      <c r="E68" s="2"/>
      <c r="F68" s="2"/>
      <c r="G68" s="2"/>
      <c r="H68" s="8"/>
      <c r="U68" s="141"/>
      <c r="V68" s="134"/>
      <c r="W68" s="135"/>
      <c r="X68" s="75"/>
      <c r="Y68" s="70"/>
      <c r="Z68" s="117" t="s">
        <v>128</v>
      </c>
    </row>
    <row r="69" spans="1:26">
      <c r="A69" s="5">
        <v>1</v>
      </c>
      <c r="B69" s="5">
        <v>6</v>
      </c>
      <c r="C69" s="5">
        <v>1</v>
      </c>
      <c r="D69" s="5" t="s">
        <v>4</v>
      </c>
      <c r="E69" s="2" t="s">
        <v>9</v>
      </c>
      <c r="F69" s="2" t="s">
        <v>9</v>
      </c>
      <c r="G69" s="2" t="s">
        <v>9</v>
      </c>
      <c r="H69" s="101">
        <f>H7</f>
        <v>0.04</v>
      </c>
      <c r="T69" s="9">
        <f>H69</f>
        <v>0.04</v>
      </c>
      <c r="U69" s="141"/>
      <c r="V69" s="109"/>
      <c r="W69" s="76"/>
      <c r="X69" s="74"/>
      <c r="Y69" s="71"/>
      <c r="Z69" s="119"/>
    </row>
    <row r="70" spans="1:26">
      <c r="A70" s="5">
        <v>1</v>
      </c>
      <c r="B70" s="5">
        <v>6</v>
      </c>
      <c r="C70" s="5">
        <v>2</v>
      </c>
      <c r="D70" s="11" t="s">
        <v>24</v>
      </c>
      <c r="E70" s="2" t="s">
        <v>9</v>
      </c>
      <c r="F70" s="2" t="s">
        <v>9</v>
      </c>
      <c r="G70" s="2" t="s">
        <v>9</v>
      </c>
      <c r="H70" s="101">
        <f>H8</f>
        <v>0.2</v>
      </c>
      <c r="T70" s="9">
        <f>H70</f>
        <v>0.2</v>
      </c>
      <c r="U70" s="141"/>
      <c r="V70" s="109"/>
      <c r="W70" s="76"/>
      <c r="X70" s="74"/>
      <c r="Y70" s="71"/>
      <c r="Z70" s="119"/>
    </row>
    <row r="71" spans="1:26">
      <c r="A71">
        <v>1</v>
      </c>
      <c r="B71" s="5">
        <v>6</v>
      </c>
      <c r="C71" s="20">
        <v>3</v>
      </c>
      <c r="D71" t="s">
        <v>135</v>
      </c>
      <c r="E71" s="16">
        <f>E46</f>
        <v>18</v>
      </c>
      <c r="F71" s="101">
        <f t="shared" ref="F71:F79" si="4">E71/1000</f>
        <v>1.7999999999999999E-2</v>
      </c>
      <c r="G71" s="114">
        <f>G9</f>
        <v>0.13</v>
      </c>
      <c r="H71" s="101">
        <f t="shared" ref="H71:H79" si="5">F71/G71</f>
        <v>0.13846153846153844</v>
      </c>
      <c r="P71" s="19">
        <f>Summary!C9</f>
        <v>610</v>
      </c>
      <c r="Q71" s="19">
        <f>P71*2</f>
        <v>1220</v>
      </c>
      <c r="T71" s="9">
        <f>H71</f>
        <v>0.13846153846153844</v>
      </c>
      <c r="U71" s="141"/>
      <c r="V71" s="109"/>
      <c r="W71" s="76"/>
      <c r="X71" s="74"/>
      <c r="Y71" s="71"/>
      <c r="Z71" s="119"/>
    </row>
    <row r="72" spans="1:26">
      <c r="A72">
        <v>1</v>
      </c>
      <c r="B72" s="5">
        <v>6</v>
      </c>
      <c r="C72" s="20">
        <v>4</v>
      </c>
      <c r="D72" s="5" t="s">
        <v>26</v>
      </c>
      <c r="E72" s="16">
        <f>E74-E73</f>
        <v>6</v>
      </c>
      <c r="F72" s="101">
        <f t="shared" si="4"/>
        <v>6.0000000000000001E-3</v>
      </c>
      <c r="G72" s="114">
        <f>G47</f>
        <v>0.16</v>
      </c>
      <c r="H72" s="101">
        <f t="shared" si="5"/>
        <v>3.7499999999999999E-2</v>
      </c>
      <c r="T72" s="9">
        <f>H72</f>
        <v>3.7499999999999999E-2</v>
      </c>
      <c r="U72" s="141"/>
      <c r="V72" s="109"/>
      <c r="W72" s="76"/>
      <c r="X72" s="74"/>
      <c r="Y72" s="71"/>
      <c r="Z72" s="119"/>
    </row>
    <row r="73" spans="1:26">
      <c r="A73" s="5">
        <v>1</v>
      </c>
      <c r="B73" s="5">
        <v>6</v>
      </c>
      <c r="C73" s="5">
        <v>5.2</v>
      </c>
      <c r="D73" s="5" t="s">
        <v>123</v>
      </c>
      <c r="E73" s="17">
        <f>Summary!C6</f>
        <v>270</v>
      </c>
      <c r="F73" s="101">
        <f t="shared" si="4"/>
        <v>0.27</v>
      </c>
      <c r="G73" s="15">
        <f>G17</f>
        <v>4.3999999999999997E-2</v>
      </c>
      <c r="H73" s="101">
        <f t="shared" si="5"/>
        <v>6.1363636363636367</v>
      </c>
      <c r="I73" s="114">
        <f>Summary!C5</f>
        <v>600</v>
      </c>
      <c r="J73" s="11"/>
      <c r="K73" s="114">
        <f>I73</f>
        <v>600</v>
      </c>
      <c r="O73" s="84">
        <f>R73-(O74+O75+O76)</f>
        <v>363743.25</v>
      </c>
      <c r="P73" s="19">
        <f>Summary!C9</f>
        <v>610</v>
      </c>
      <c r="Q73" s="19">
        <f>Q48</f>
        <v>600</v>
      </c>
      <c r="R73" s="84">
        <f>P73*Q73</f>
        <v>366000</v>
      </c>
      <c r="S73" s="88">
        <f>O73/R73</f>
        <v>0.9938340163934426</v>
      </c>
      <c r="T73" s="9">
        <f t="shared" ref="T73:T78" si="6">H73*S73</f>
        <v>6.0985269187779432</v>
      </c>
      <c r="U73" s="141"/>
      <c r="V73" s="109"/>
      <c r="W73" s="76"/>
      <c r="X73" s="74"/>
      <c r="Y73" s="71"/>
      <c r="Z73" s="119" t="s">
        <v>100</v>
      </c>
    </row>
    <row r="74" spans="1:26">
      <c r="A74">
        <v>1</v>
      </c>
      <c r="B74" s="5">
        <v>6</v>
      </c>
      <c r="C74" s="5">
        <v>5.3</v>
      </c>
      <c r="D74" t="s">
        <v>114</v>
      </c>
      <c r="E74" s="100">
        <v>276</v>
      </c>
      <c r="F74" s="101">
        <f t="shared" si="4"/>
        <v>0.27600000000000002</v>
      </c>
      <c r="G74" s="105">
        <v>0.2</v>
      </c>
      <c r="H74" s="101">
        <f t="shared" si="5"/>
        <v>1.3800000000000001</v>
      </c>
      <c r="I74" s="100">
        <v>40</v>
      </c>
      <c r="J74" s="115">
        <v>2</v>
      </c>
      <c r="K74" s="100">
        <v>35</v>
      </c>
      <c r="L74" s="115">
        <v>1</v>
      </c>
      <c r="M74" s="115">
        <v>1.5</v>
      </c>
      <c r="N74" s="100">
        <v>2</v>
      </c>
      <c r="O74" s="84">
        <f>((I74*M74*J74)+(K74*M74*L74)*N74)</f>
        <v>225</v>
      </c>
      <c r="P74" s="19">
        <f>P73</f>
        <v>610</v>
      </c>
      <c r="Q74" s="19">
        <f>Q71</f>
        <v>1220</v>
      </c>
      <c r="R74" s="84">
        <f>P74*Q74</f>
        <v>744200</v>
      </c>
      <c r="S74" s="88">
        <f>O74/R74</f>
        <v>3.0233808116097825E-4</v>
      </c>
      <c r="T74" s="9">
        <f t="shared" si="6"/>
        <v>4.1722655200215002E-4</v>
      </c>
      <c r="U74" s="141"/>
      <c r="V74" s="109"/>
      <c r="W74" s="76"/>
      <c r="X74" s="74"/>
      <c r="Y74" s="71"/>
      <c r="Z74" s="119" t="s">
        <v>113</v>
      </c>
    </row>
    <row r="75" spans="1:26">
      <c r="A75">
        <v>1</v>
      </c>
      <c r="B75" s="5">
        <v>6</v>
      </c>
      <c r="C75" s="5">
        <v>5.4</v>
      </c>
      <c r="D75" t="s">
        <v>115</v>
      </c>
      <c r="E75" s="16">
        <f>E74</f>
        <v>276</v>
      </c>
      <c r="F75" s="101">
        <f t="shared" si="4"/>
        <v>0.27600000000000002</v>
      </c>
      <c r="G75" s="114">
        <f>G74</f>
        <v>0.2</v>
      </c>
      <c r="H75" s="101">
        <f t="shared" si="5"/>
        <v>1.3800000000000001</v>
      </c>
      <c r="I75" s="16">
        <f>I74</f>
        <v>40</v>
      </c>
      <c r="J75" s="115">
        <v>2</v>
      </c>
      <c r="K75" s="16">
        <f>K74</f>
        <v>35</v>
      </c>
      <c r="L75" s="115">
        <v>1</v>
      </c>
      <c r="M75" s="19">
        <f>M74</f>
        <v>1.5</v>
      </c>
      <c r="N75" s="100">
        <v>1</v>
      </c>
      <c r="O75" s="84">
        <f>((I75*M75*J75)+(K75*M75*L75)*N75)</f>
        <v>172.5</v>
      </c>
      <c r="P75" s="19">
        <f>P73</f>
        <v>610</v>
      </c>
      <c r="Q75" s="19">
        <f>Q71</f>
        <v>1220</v>
      </c>
      <c r="R75" s="84">
        <f>P75*Q75</f>
        <v>744200</v>
      </c>
      <c r="S75" s="88">
        <f>O75/R75</f>
        <v>2.3179252889008332E-4</v>
      </c>
      <c r="T75" s="9">
        <f t="shared" si="6"/>
        <v>3.1987368986831501E-4</v>
      </c>
      <c r="U75" s="141"/>
      <c r="V75" s="109"/>
      <c r="W75" s="76"/>
      <c r="X75" s="74"/>
      <c r="Y75" s="71"/>
      <c r="Z75" s="119" t="s">
        <v>113</v>
      </c>
    </row>
    <row r="76" spans="1:26">
      <c r="A76">
        <v>1</v>
      </c>
      <c r="B76" s="5">
        <v>6</v>
      </c>
      <c r="C76" s="5">
        <v>5.6</v>
      </c>
      <c r="D76" t="s">
        <v>116</v>
      </c>
      <c r="E76" s="16">
        <f>E74</f>
        <v>276</v>
      </c>
      <c r="F76" s="101">
        <f t="shared" si="4"/>
        <v>0.27600000000000002</v>
      </c>
      <c r="G76" s="100">
        <v>0.16</v>
      </c>
      <c r="H76" s="101">
        <f t="shared" si="5"/>
        <v>1.7250000000000001</v>
      </c>
      <c r="I76" s="16">
        <f>I74-(J74*M74)</f>
        <v>37</v>
      </c>
      <c r="K76" s="131">
        <f>K74-M74</f>
        <v>33.5</v>
      </c>
      <c r="N76" s="16">
        <f>AVERAGE(N74:N75)</f>
        <v>1.5</v>
      </c>
      <c r="O76" s="84">
        <f>I76*K76*N76</f>
        <v>1859.25</v>
      </c>
      <c r="P76" s="19">
        <f>P73</f>
        <v>610</v>
      </c>
      <c r="Q76" s="19">
        <f>Q48</f>
        <v>600</v>
      </c>
      <c r="R76" s="84">
        <f>P76*Q76</f>
        <v>366000</v>
      </c>
      <c r="S76" s="88">
        <f>O76/R76</f>
        <v>5.0799180327868853E-3</v>
      </c>
      <c r="T76" s="9">
        <f t="shared" si="6"/>
        <v>8.7628586065573773E-3</v>
      </c>
      <c r="U76" s="141"/>
      <c r="V76" s="109"/>
      <c r="W76" s="76"/>
      <c r="X76" s="74"/>
      <c r="Y76" s="71"/>
      <c r="Z76" s="119" t="s">
        <v>112</v>
      </c>
    </row>
    <row r="77" spans="1:26">
      <c r="A77" s="5">
        <v>1</v>
      </c>
      <c r="B77" s="5">
        <v>6</v>
      </c>
      <c r="C77">
        <v>6.1</v>
      </c>
      <c r="D77" s="5" t="s">
        <v>121</v>
      </c>
      <c r="E77" s="16">
        <f>E$17</f>
        <v>100</v>
      </c>
      <c r="F77" s="101">
        <f t="shared" si="4"/>
        <v>0.1</v>
      </c>
      <c r="G77" s="15">
        <f>G17</f>
        <v>4.3999999999999997E-2</v>
      </c>
      <c r="H77" s="101">
        <f t="shared" si="5"/>
        <v>2.2727272727272729</v>
      </c>
      <c r="I77" s="15">
        <f>I$17</f>
        <v>568</v>
      </c>
      <c r="J77" s="6"/>
      <c r="P77" s="19">
        <f t="shared" ref="P77:P78" si="7">P$18</f>
        <v>600</v>
      </c>
      <c r="S77" s="88">
        <f>I77/P77</f>
        <v>0.94666666666666666</v>
      </c>
      <c r="T77" s="9">
        <f t="shared" si="6"/>
        <v>2.1515151515151518</v>
      </c>
      <c r="U77" s="141"/>
      <c r="V77" s="109"/>
      <c r="W77" s="76"/>
      <c r="X77" s="74"/>
      <c r="Y77" s="71"/>
      <c r="Z77" s="119"/>
    </row>
    <row r="78" spans="1:26">
      <c r="A78" s="5">
        <v>1</v>
      </c>
      <c r="B78" s="5">
        <v>6</v>
      </c>
      <c r="C78">
        <v>6.2</v>
      </c>
      <c r="D78" s="19" t="str">
        <f>D$18</f>
        <v>32 x 75 timber joists at 600 mm centres</v>
      </c>
      <c r="E78" s="16">
        <f>E$18</f>
        <v>100</v>
      </c>
      <c r="F78" s="101">
        <f t="shared" si="4"/>
        <v>0.1</v>
      </c>
      <c r="G78" s="16">
        <f>G9</f>
        <v>0.13</v>
      </c>
      <c r="H78" s="101">
        <f t="shared" si="5"/>
        <v>0.76923076923076927</v>
      </c>
      <c r="I78" s="16">
        <f>I$18</f>
        <v>32</v>
      </c>
      <c r="P78" s="19">
        <f t="shared" si="7"/>
        <v>600</v>
      </c>
      <c r="S78" s="88">
        <f>I78/P78</f>
        <v>5.3333333333333337E-2</v>
      </c>
      <c r="T78" s="9">
        <f t="shared" si="6"/>
        <v>4.1025641025641033E-2</v>
      </c>
      <c r="U78" s="141"/>
      <c r="V78" s="109" t="s">
        <v>29</v>
      </c>
      <c r="W78" s="76" t="s">
        <v>30</v>
      </c>
      <c r="X78" s="73" t="s">
        <v>29</v>
      </c>
      <c r="Y78" s="76" t="s">
        <v>30</v>
      </c>
      <c r="Z78" s="119"/>
    </row>
    <row r="79" spans="1:26">
      <c r="A79" s="5">
        <v>1</v>
      </c>
      <c r="B79" s="5">
        <v>6</v>
      </c>
      <c r="C79" s="5">
        <v>8</v>
      </c>
      <c r="D79" s="5" t="s">
        <v>8</v>
      </c>
      <c r="E79" s="15">
        <f>E19</f>
        <v>12.5</v>
      </c>
      <c r="F79" s="101">
        <f t="shared" si="4"/>
        <v>1.2500000000000001E-2</v>
      </c>
      <c r="G79" s="16">
        <f>G10</f>
        <v>0.25</v>
      </c>
      <c r="H79" s="101">
        <f t="shared" si="5"/>
        <v>0.05</v>
      </c>
      <c r="T79" s="9">
        <f>H79</f>
        <v>0.05</v>
      </c>
      <c r="U79" s="141"/>
      <c r="V79" s="109"/>
      <c r="W79" s="76"/>
      <c r="X79" s="74"/>
      <c r="Y79" s="71"/>
      <c r="Z79" s="119"/>
    </row>
    <row r="80" spans="1:26">
      <c r="A80" s="5">
        <v>1</v>
      </c>
      <c r="B80" s="5">
        <v>6</v>
      </c>
      <c r="C80" s="5">
        <v>9</v>
      </c>
      <c r="D80" s="5" t="s">
        <v>3</v>
      </c>
      <c r="E80" s="2" t="s">
        <v>9</v>
      </c>
      <c r="F80" s="2" t="s">
        <v>9</v>
      </c>
      <c r="G80" s="2" t="s">
        <v>9</v>
      </c>
      <c r="H80" s="101">
        <f>H11</f>
        <v>0.1</v>
      </c>
      <c r="T80" s="9">
        <f>H80</f>
        <v>0.1</v>
      </c>
      <c r="U80" s="141"/>
      <c r="V80" s="109"/>
      <c r="W80" s="76"/>
      <c r="X80" s="74"/>
      <c r="Y80" s="71"/>
      <c r="Z80" s="119"/>
    </row>
    <row r="81" spans="1:26">
      <c r="A81" s="5">
        <v>1</v>
      </c>
      <c r="B81" s="5">
        <v>6</v>
      </c>
      <c r="C81" s="5">
        <v>10</v>
      </c>
      <c r="D81" s="5" t="s">
        <v>15</v>
      </c>
      <c r="E81" s="2" t="s">
        <v>9</v>
      </c>
      <c r="F81" s="2" t="s">
        <v>9</v>
      </c>
      <c r="G81" s="2" t="s">
        <v>9</v>
      </c>
      <c r="H81" s="12">
        <f>SUM(H69:H80)</f>
        <v>14.22928321678322</v>
      </c>
      <c r="T81" s="13">
        <f>SUM(T69:T80)</f>
        <v>8.8665292086287018</v>
      </c>
      <c r="U81" s="141"/>
      <c r="V81" s="109">
        <v>0.1202</v>
      </c>
      <c r="W81" s="147">
        <v>0.1128</v>
      </c>
      <c r="X81" s="74">
        <v>0.62</v>
      </c>
      <c r="Y81" s="133">
        <v>0.62</v>
      </c>
      <c r="Z81" s="119"/>
    </row>
    <row r="82" spans="1:26">
      <c r="A82" s="5">
        <v>1</v>
      </c>
      <c r="B82" s="5">
        <v>6</v>
      </c>
      <c r="C82" s="5">
        <v>11</v>
      </c>
      <c r="E82" s="2" t="s">
        <v>9</v>
      </c>
      <c r="F82" s="2" t="s">
        <v>9</v>
      </c>
      <c r="G82" s="2" t="s">
        <v>9</v>
      </c>
      <c r="H82" s="8"/>
      <c r="U82" s="142">
        <f>1/T81</f>
        <v>0.11278370334886204</v>
      </c>
      <c r="V82" s="143">
        <f>IF(E78=75,U82,0)</f>
        <v>0</v>
      </c>
      <c r="W82" s="144">
        <f>IF(E78=100,U82,0)</f>
        <v>0.11278370334886204</v>
      </c>
      <c r="X82" s="89">
        <f>IF(E78=75,(T81/H81),0)</f>
        <v>0</v>
      </c>
      <c r="Y82" s="90">
        <f>IF(E78=100,(T81/H81),0)</f>
        <v>0.62311847150324251</v>
      </c>
      <c r="Z82" s="148" t="s">
        <v>120</v>
      </c>
    </row>
    <row r="83" spans="1:26" ht="45">
      <c r="A83" s="32">
        <v>1</v>
      </c>
      <c r="B83" s="33">
        <v>7</v>
      </c>
      <c r="C83" s="33">
        <v>0</v>
      </c>
      <c r="D83" s="111" t="s">
        <v>141</v>
      </c>
      <c r="E83" s="34"/>
      <c r="F83" s="34"/>
      <c r="G83" s="34"/>
      <c r="H83" s="35"/>
      <c r="I83" s="34"/>
      <c r="J83" s="33"/>
      <c r="K83" s="34"/>
      <c r="L83" s="33"/>
      <c r="M83" s="33"/>
      <c r="N83" s="34"/>
      <c r="O83" s="36"/>
      <c r="P83" s="33"/>
      <c r="Q83" s="33"/>
      <c r="R83" s="36"/>
      <c r="S83" s="37"/>
      <c r="T83" s="38"/>
      <c r="U83" s="145"/>
      <c r="V83" s="134"/>
      <c r="W83" s="135"/>
      <c r="X83" s="75"/>
      <c r="Y83" s="70"/>
      <c r="Z83" s="117" t="s">
        <v>142</v>
      </c>
    </row>
    <row r="84" spans="1:26">
      <c r="A84" s="39">
        <v>1</v>
      </c>
      <c r="B84" s="41">
        <v>7</v>
      </c>
      <c r="C84" s="41">
        <v>1</v>
      </c>
      <c r="D84" s="41" t="s">
        <v>4</v>
      </c>
      <c r="E84" s="10" t="s">
        <v>9</v>
      </c>
      <c r="F84" s="10" t="s">
        <v>9</v>
      </c>
      <c r="G84" s="10" t="s">
        <v>9</v>
      </c>
      <c r="H84" s="102">
        <f>H7</f>
        <v>0.04</v>
      </c>
      <c r="I84" s="10"/>
      <c r="J84" s="40"/>
      <c r="K84" s="10"/>
      <c r="L84" s="40"/>
      <c r="M84" s="40"/>
      <c r="N84" s="10"/>
      <c r="O84" s="42"/>
      <c r="P84" s="40"/>
      <c r="Q84" s="40"/>
      <c r="R84" s="42"/>
      <c r="S84" s="43"/>
      <c r="T84" s="44">
        <f>H84</f>
        <v>0.04</v>
      </c>
      <c r="U84" s="146"/>
      <c r="V84" s="109"/>
      <c r="W84" s="76"/>
      <c r="X84" s="74"/>
      <c r="Y84" s="71"/>
      <c r="Z84" s="119"/>
    </row>
    <row r="85" spans="1:26">
      <c r="A85" s="39">
        <v>1</v>
      </c>
      <c r="B85" s="41">
        <v>7</v>
      </c>
      <c r="C85" s="41">
        <v>2</v>
      </c>
      <c r="D85" s="45" t="s">
        <v>24</v>
      </c>
      <c r="E85" s="10" t="s">
        <v>9</v>
      </c>
      <c r="F85" s="10" t="s">
        <v>9</v>
      </c>
      <c r="G85" s="10" t="s">
        <v>9</v>
      </c>
      <c r="H85" s="102">
        <f>H8</f>
        <v>0.2</v>
      </c>
      <c r="I85" s="10"/>
      <c r="J85" s="40"/>
      <c r="K85" s="10"/>
      <c r="L85" s="40"/>
      <c r="M85" s="40"/>
      <c r="N85" s="10"/>
      <c r="O85" s="42"/>
      <c r="P85" s="40"/>
      <c r="Q85" s="40"/>
      <c r="R85" s="42"/>
      <c r="S85" s="43"/>
      <c r="T85" s="44">
        <f>H85</f>
        <v>0.2</v>
      </c>
      <c r="U85" s="146"/>
      <c r="V85" s="109"/>
      <c r="W85" s="76"/>
      <c r="X85" s="74"/>
      <c r="Y85" s="71"/>
      <c r="Z85" s="119"/>
    </row>
    <row r="86" spans="1:26">
      <c r="A86" s="46">
        <v>1</v>
      </c>
      <c r="B86" s="41">
        <v>7</v>
      </c>
      <c r="C86" s="47">
        <v>3</v>
      </c>
      <c r="D86" s="40" t="s">
        <v>135</v>
      </c>
      <c r="E86" s="48">
        <f>E46</f>
        <v>18</v>
      </c>
      <c r="F86" s="102">
        <f t="shared" ref="F86:F93" si="8">E86/1000</f>
        <v>1.7999999999999999E-2</v>
      </c>
      <c r="G86" s="99">
        <f>G9</f>
        <v>0.13</v>
      </c>
      <c r="H86" s="102">
        <f t="shared" ref="H86:H93" si="9">F86/G86</f>
        <v>0.13846153846153844</v>
      </c>
      <c r="I86" s="10"/>
      <c r="J86" s="40"/>
      <c r="K86" s="10"/>
      <c r="L86" s="40"/>
      <c r="M86" s="40"/>
      <c r="N86" s="10"/>
      <c r="O86" s="42"/>
      <c r="P86" s="50">
        <f>P71</f>
        <v>610</v>
      </c>
      <c r="Q86" s="50">
        <f>Q71</f>
        <v>1220</v>
      </c>
      <c r="R86" s="42"/>
      <c r="S86" s="43"/>
      <c r="T86" s="44">
        <f>H86</f>
        <v>0.13846153846153844</v>
      </c>
      <c r="U86" s="146"/>
      <c r="V86" s="109"/>
      <c r="W86" s="76"/>
      <c r="X86" s="74"/>
      <c r="Y86" s="71"/>
      <c r="Z86" s="119"/>
    </row>
    <row r="87" spans="1:26">
      <c r="A87" s="46">
        <v>1</v>
      </c>
      <c r="B87" s="41">
        <v>7</v>
      </c>
      <c r="C87" s="47">
        <v>4</v>
      </c>
      <c r="D87" s="41" t="s">
        <v>26</v>
      </c>
      <c r="E87" s="48">
        <f>E89-E88</f>
        <v>6</v>
      </c>
      <c r="F87" s="102">
        <f t="shared" si="8"/>
        <v>6.0000000000000001E-3</v>
      </c>
      <c r="G87" s="99">
        <f>G72</f>
        <v>0.16</v>
      </c>
      <c r="H87" s="102">
        <f t="shared" si="9"/>
        <v>3.7499999999999999E-2</v>
      </c>
      <c r="I87" s="10"/>
      <c r="J87" s="40"/>
      <c r="K87" s="10"/>
      <c r="L87" s="40"/>
      <c r="M87" s="40"/>
      <c r="N87" s="10"/>
      <c r="O87" s="42"/>
      <c r="P87" s="40"/>
      <c r="Q87" s="40"/>
      <c r="R87" s="42"/>
      <c r="S87" s="43"/>
      <c r="T87" s="44">
        <f>H87</f>
        <v>3.7499999999999999E-2</v>
      </c>
      <c r="U87" s="146"/>
      <c r="V87" s="109"/>
      <c r="W87" s="76"/>
      <c r="X87" s="74"/>
      <c r="Y87" s="71"/>
      <c r="Z87" s="119" t="s">
        <v>150</v>
      </c>
    </row>
    <row r="88" spans="1:26">
      <c r="A88" s="39">
        <v>1</v>
      </c>
      <c r="B88" s="41">
        <v>7</v>
      </c>
      <c r="C88" s="41">
        <v>5.2</v>
      </c>
      <c r="D88" s="41" t="s">
        <v>123</v>
      </c>
      <c r="E88" s="152">
        <f>E73</f>
        <v>270</v>
      </c>
      <c r="F88" s="102">
        <f t="shared" si="8"/>
        <v>0.27</v>
      </c>
      <c r="G88" s="55">
        <f>G17</f>
        <v>4.3999999999999997E-2</v>
      </c>
      <c r="H88" s="102">
        <f t="shared" si="9"/>
        <v>6.1363636363636367</v>
      </c>
      <c r="I88" s="99">
        <f>I73</f>
        <v>600</v>
      </c>
      <c r="J88" s="45"/>
      <c r="K88" s="99">
        <f>I73</f>
        <v>600</v>
      </c>
      <c r="L88" s="130"/>
      <c r="M88" s="130"/>
      <c r="N88" s="53"/>
      <c r="O88" s="85">
        <f>R88-(O89+O90)</f>
        <v>365602.5</v>
      </c>
      <c r="P88" s="50">
        <f>P73</f>
        <v>610</v>
      </c>
      <c r="Q88" s="50">
        <f>Q73</f>
        <v>600</v>
      </c>
      <c r="R88" s="85">
        <f>P88*Q88</f>
        <v>366000</v>
      </c>
      <c r="S88" s="87">
        <f>O88/R88</f>
        <v>0.99891393442622956</v>
      </c>
      <c r="T88" s="44">
        <f t="shared" ref="T88:T92" si="10">H88*S88</f>
        <v>6.1296991430700452</v>
      </c>
      <c r="U88" s="146"/>
      <c r="V88" s="109"/>
      <c r="W88" s="76"/>
      <c r="X88" s="74"/>
      <c r="Y88" s="71"/>
      <c r="Z88" s="119"/>
    </row>
    <row r="89" spans="1:26">
      <c r="A89" s="46">
        <v>1</v>
      </c>
      <c r="B89" s="41">
        <v>7</v>
      </c>
      <c r="C89" s="41">
        <v>5.3</v>
      </c>
      <c r="D89" s="40" t="s">
        <v>114</v>
      </c>
      <c r="E89" s="48">
        <f>E74</f>
        <v>276</v>
      </c>
      <c r="F89" s="102">
        <f t="shared" si="8"/>
        <v>0.27600000000000002</v>
      </c>
      <c r="G89" s="99">
        <f>G74</f>
        <v>0.2</v>
      </c>
      <c r="H89" s="102">
        <f t="shared" si="9"/>
        <v>1.3800000000000001</v>
      </c>
      <c r="I89" s="48">
        <f>I74</f>
        <v>40</v>
      </c>
      <c r="J89" s="48">
        <f t="shared" ref="J89:N90" si="11">J74</f>
        <v>2</v>
      </c>
      <c r="K89" s="48">
        <f t="shared" si="11"/>
        <v>35</v>
      </c>
      <c r="L89" s="48">
        <f t="shared" si="11"/>
        <v>1</v>
      </c>
      <c r="M89" s="48">
        <f t="shared" si="11"/>
        <v>1.5</v>
      </c>
      <c r="N89" s="48">
        <f t="shared" si="11"/>
        <v>2</v>
      </c>
      <c r="O89" s="85">
        <f>((I89*M89*J89)+(K89*M89*L89)*N89)</f>
        <v>225</v>
      </c>
      <c r="P89" s="50">
        <f>P73</f>
        <v>610</v>
      </c>
      <c r="Q89" s="50">
        <f>Q74</f>
        <v>1220</v>
      </c>
      <c r="R89" s="85">
        <f>P89*Q89</f>
        <v>744200</v>
      </c>
      <c r="S89" s="87">
        <f>O89/R89</f>
        <v>3.0233808116097825E-4</v>
      </c>
      <c r="T89" s="44">
        <f t="shared" si="10"/>
        <v>4.1722655200215002E-4</v>
      </c>
      <c r="U89" s="146"/>
      <c r="V89" s="109"/>
      <c r="W89" s="76"/>
      <c r="X89" s="74"/>
      <c r="Y89" s="71"/>
      <c r="Z89" s="119"/>
    </row>
    <row r="90" spans="1:26">
      <c r="A90" s="46">
        <v>1</v>
      </c>
      <c r="B90" s="41">
        <v>7</v>
      </c>
      <c r="C90" s="41">
        <v>5.4</v>
      </c>
      <c r="D90" s="40" t="s">
        <v>115</v>
      </c>
      <c r="E90" s="48">
        <f>E89</f>
        <v>276</v>
      </c>
      <c r="F90" s="102">
        <f t="shared" si="8"/>
        <v>0.27600000000000002</v>
      </c>
      <c r="G90" s="99">
        <f>G89</f>
        <v>0.2</v>
      </c>
      <c r="H90" s="102">
        <f t="shared" si="9"/>
        <v>1.3800000000000001</v>
      </c>
      <c r="I90" s="48">
        <f>I89</f>
        <v>40</v>
      </c>
      <c r="J90" s="48">
        <f t="shared" si="11"/>
        <v>2</v>
      </c>
      <c r="K90" s="48">
        <f>K89</f>
        <v>35</v>
      </c>
      <c r="L90" s="48">
        <f t="shared" si="11"/>
        <v>1</v>
      </c>
      <c r="M90" s="50">
        <f>M89</f>
        <v>1.5</v>
      </c>
      <c r="N90" s="48">
        <f t="shared" si="11"/>
        <v>1</v>
      </c>
      <c r="O90" s="85">
        <f>((I90*M90*J90)+(K90*M90*L90)*N90)</f>
        <v>172.5</v>
      </c>
      <c r="P90" s="50">
        <f>P73</f>
        <v>610</v>
      </c>
      <c r="Q90" s="50">
        <f>Q89</f>
        <v>1220</v>
      </c>
      <c r="R90" s="85">
        <f>P90*Q90</f>
        <v>744200</v>
      </c>
      <c r="S90" s="87">
        <f>O90/R90</f>
        <v>2.3179252889008332E-4</v>
      </c>
      <c r="T90" s="44">
        <f t="shared" si="10"/>
        <v>3.1987368986831501E-4</v>
      </c>
      <c r="U90" s="146"/>
      <c r="V90" s="109"/>
      <c r="W90" s="76"/>
      <c r="X90" s="74"/>
      <c r="Y90" s="71"/>
      <c r="Z90" s="119"/>
    </row>
    <row r="91" spans="1:26">
      <c r="A91" s="39">
        <v>1</v>
      </c>
      <c r="B91" s="41">
        <v>7</v>
      </c>
      <c r="C91" s="40">
        <v>6.1</v>
      </c>
      <c r="D91" s="41" t="s">
        <v>121</v>
      </c>
      <c r="E91" s="48">
        <f>E$17</f>
        <v>100</v>
      </c>
      <c r="F91" s="102">
        <f t="shared" si="8"/>
        <v>0.1</v>
      </c>
      <c r="G91" s="55">
        <f>G17</f>
        <v>4.3999999999999997E-2</v>
      </c>
      <c r="H91" s="102">
        <f t="shared" si="9"/>
        <v>2.2727272727272729</v>
      </c>
      <c r="I91" s="55">
        <f>I$17</f>
        <v>568</v>
      </c>
      <c r="J91" s="49"/>
      <c r="K91" s="10"/>
      <c r="L91" s="40"/>
      <c r="M91" s="40"/>
      <c r="N91" s="10"/>
      <c r="O91" s="42"/>
      <c r="P91" s="50">
        <f t="shared" ref="P91:P92" si="12">P$18</f>
        <v>600</v>
      </c>
      <c r="Q91" s="40"/>
      <c r="R91" s="42"/>
      <c r="S91" s="87">
        <f>I91/P91</f>
        <v>0.94666666666666666</v>
      </c>
      <c r="T91" s="44">
        <f t="shared" si="10"/>
        <v>2.1515151515151518</v>
      </c>
      <c r="U91" s="146"/>
      <c r="V91" s="109"/>
      <c r="W91" s="76"/>
      <c r="X91" s="74"/>
      <c r="Y91" s="71"/>
      <c r="Z91" s="119"/>
    </row>
    <row r="92" spans="1:26">
      <c r="A92" s="39">
        <v>1</v>
      </c>
      <c r="B92" s="41">
        <v>7</v>
      </c>
      <c r="C92" s="40">
        <v>6.2</v>
      </c>
      <c r="D92" s="50" t="str">
        <f>D$18</f>
        <v>32 x 75 timber joists at 600 mm centres</v>
      </c>
      <c r="E92" s="48">
        <f>E$18</f>
        <v>100</v>
      </c>
      <c r="F92" s="102">
        <f t="shared" si="8"/>
        <v>0.1</v>
      </c>
      <c r="G92" s="48">
        <f>G9</f>
        <v>0.13</v>
      </c>
      <c r="H92" s="102">
        <f t="shared" si="9"/>
        <v>0.76923076923076927</v>
      </c>
      <c r="I92" s="48">
        <f>I$18</f>
        <v>32</v>
      </c>
      <c r="J92" s="40"/>
      <c r="K92" s="10"/>
      <c r="L92" s="40"/>
      <c r="M92" s="40"/>
      <c r="N92" s="10"/>
      <c r="O92" s="42"/>
      <c r="P92" s="50">
        <f t="shared" si="12"/>
        <v>600</v>
      </c>
      <c r="Q92" s="40"/>
      <c r="R92" s="42"/>
      <c r="S92" s="87">
        <f>I92/P92</f>
        <v>5.3333333333333337E-2</v>
      </c>
      <c r="T92" s="44">
        <f t="shared" si="10"/>
        <v>4.1025641025641033E-2</v>
      </c>
      <c r="U92" s="146"/>
      <c r="V92" s="109" t="s">
        <v>29</v>
      </c>
      <c r="W92" s="76" t="s">
        <v>30</v>
      </c>
      <c r="X92" s="73" t="s">
        <v>29</v>
      </c>
      <c r="Y92" s="76" t="s">
        <v>30</v>
      </c>
      <c r="Z92" s="119"/>
    </row>
    <row r="93" spans="1:26">
      <c r="A93" s="39">
        <v>1</v>
      </c>
      <c r="B93" s="41">
        <v>7</v>
      </c>
      <c r="C93" s="41">
        <v>8</v>
      </c>
      <c r="D93" s="41" t="s">
        <v>8</v>
      </c>
      <c r="E93" s="127">
        <f>E19</f>
        <v>12.5</v>
      </c>
      <c r="F93" s="102">
        <f t="shared" si="8"/>
        <v>1.2500000000000001E-2</v>
      </c>
      <c r="G93" s="48">
        <f>G10</f>
        <v>0.25</v>
      </c>
      <c r="H93" s="102">
        <f t="shared" si="9"/>
        <v>0.05</v>
      </c>
      <c r="I93" s="10"/>
      <c r="J93" s="40"/>
      <c r="K93" s="10"/>
      <c r="L93" s="40"/>
      <c r="M93" s="40"/>
      <c r="N93" s="10"/>
      <c r="O93" s="42"/>
      <c r="P93" s="40"/>
      <c r="Q93" s="40"/>
      <c r="R93" s="42"/>
      <c r="S93" s="43"/>
      <c r="T93" s="44">
        <f>H93</f>
        <v>0.05</v>
      </c>
      <c r="U93" s="146"/>
      <c r="V93" s="109"/>
      <c r="W93" s="76"/>
      <c r="X93" s="74"/>
      <c r="Y93" s="71"/>
      <c r="Z93" s="119"/>
    </row>
    <row r="94" spans="1:26">
      <c r="A94" s="39">
        <v>1</v>
      </c>
      <c r="B94" s="41">
        <v>7</v>
      </c>
      <c r="C94" s="41">
        <v>9</v>
      </c>
      <c r="D94" s="41" t="s">
        <v>3</v>
      </c>
      <c r="E94" s="10" t="s">
        <v>9</v>
      </c>
      <c r="F94" s="10" t="s">
        <v>9</v>
      </c>
      <c r="G94" s="10" t="s">
        <v>9</v>
      </c>
      <c r="H94" s="102">
        <f>H11</f>
        <v>0.1</v>
      </c>
      <c r="I94" s="10"/>
      <c r="J94" s="40"/>
      <c r="K94" s="10"/>
      <c r="L94" s="40"/>
      <c r="M94" s="40"/>
      <c r="N94" s="10"/>
      <c r="O94" s="42"/>
      <c r="P94" s="40"/>
      <c r="Q94" s="40"/>
      <c r="R94" s="42"/>
      <c r="S94" s="43"/>
      <c r="T94" s="44">
        <f>H94</f>
        <v>0.1</v>
      </c>
      <c r="U94" s="146"/>
      <c r="V94" s="109"/>
      <c r="W94" s="76"/>
      <c r="X94" s="74"/>
      <c r="Y94" s="71"/>
      <c r="Z94" s="119"/>
    </row>
    <row r="95" spans="1:26">
      <c r="A95" s="39">
        <v>1</v>
      </c>
      <c r="B95" s="41">
        <v>7</v>
      </c>
      <c r="C95" s="41">
        <v>10</v>
      </c>
      <c r="D95" s="41" t="s">
        <v>15</v>
      </c>
      <c r="E95" s="10" t="s">
        <v>9</v>
      </c>
      <c r="F95" s="10" t="s">
        <v>9</v>
      </c>
      <c r="G95" s="10" t="s">
        <v>9</v>
      </c>
      <c r="H95" s="12">
        <f>SUM(H84:H94)</f>
        <v>12.50428321678322</v>
      </c>
      <c r="I95" s="10"/>
      <c r="J95" s="40"/>
      <c r="K95" s="10"/>
      <c r="L95" s="40"/>
      <c r="M95" s="40"/>
      <c r="N95" s="10"/>
      <c r="O95" s="42"/>
      <c r="P95" s="40"/>
      <c r="Q95" s="40"/>
      <c r="R95" s="42"/>
      <c r="S95" s="43"/>
      <c r="T95" s="13">
        <f>SUM(T84:T94)</f>
        <v>8.8889385743142473</v>
      </c>
      <c r="U95" s="146"/>
      <c r="V95" s="158">
        <v>0.12</v>
      </c>
      <c r="W95" s="159">
        <v>0.112</v>
      </c>
      <c r="X95" s="128">
        <v>0.71</v>
      </c>
      <c r="Y95" s="133">
        <v>0.71</v>
      </c>
      <c r="Z95" s="119"/>
    </row>
    <row r="96" spans="1:26">
      <c r="A96" s="56">
        <v>1</v>
      </c>
      <c r="B96" s="58">
        <v>7</v>
      </c>
      <c r="C96" s="58">
        <v>11</v>
      </c>
      <c r="D96" s="57"/>
      <c r="E96" s="59" t="s">
        <v>9</v>
      </c>
      <c r="F96" s="59" t="s">
        <v>9</v>
      </c>
      <c r="G96" s="59" t="s">
        <v>9</v>
      </c>
      <c r="H96" s="65"/>
      <c r="I96" s="59"/>
      <c r="J96" s="57"/>
      <c r="K96" s="59"/>
      <c r="L96" s="57"/>
      <c r="M96" s="57"/>
      <c r="N96" s="59"/>
      <c r="O96" s="60"/>
      <c r="P96" s="57"/>
      <c r="Q96" s="57"/>
      <c r="R96" s="60"/>
      <c r="S96" s="61"/>
      <c r="T96" s="64"/>
      <c r="U96" s="138">
        <f>1/T95</f>
        <v>0.1124993711723502</v>
      </c>
      <c r="V96" s="156">
        <f>IF(E92=75,U96,0)</f>
        <v>0</v>
      </c>
      <c r="W96" s="157">
        <f>IF(E92=100,U96,0)</f>
        <v>0.1124993711723502</v>
      </c>
      <c r="X96" s="81">
        <f>IF(E92=75,(T95/H95),0)</f>
        <v>0</v>
      </c>
      <c r="Y96" s="82">
        <f>IF(E92=100,(T95/H95),0)</f>
        <v>0.7108715006057712</v>
      </c>
      <c r="Z96" s="148" t="s">
        <v>119</v>
      </c>
    </row>
    <row r="97" spans="1:26" ht="45">
      <c r="A97" s="32">
        <v>1</v>
      </c>
      <c r="B97" s="33">
        <v>8</v>
      </c>
      <c r="C97" s="33">
        <v>0</v>
      </c>
      <c r="D97" s="111" t="s">
        <v>136</v>
      </c>
      <c r="E97" s="34"/>
      <c r="F97" s="34"/>
      <c r="G97" s="34"/>
      <c r="H97" s="35"/>
      <c r="I97" s="34"/>
      <c r="J97" s="33"/>
      <c r="K97" s="34"/>
      <c r="L97" s="33"/>
      <c r="M97" s="33"/>
      <c r="N97" s="34"/>
      <c r="O97" s="36"/>
      <c r="P97" s="33"/>
      <c r="Q97" s="33"/>
      <c r="R97" s="36"/>
      <c r="S97" s="37"/>
      <c r="T97" s="38"/>
      <c r="U97" s="145"/>
      <c r="V97" s="134"/>
      <c r="W97" s="135"/>
      <c r="X97" s="75"/>
      <c r="Y97" s="70"/>
      <c r="Z97" s="117" t="s">
        <v>138</v>
      </c>
    </row>
    <row r="98" spans="1:26">
      <c r="A98" s="39">
        <v>1</v>
      </c>
      <c r="B98" s="40">
        <v>8</v>
      </c>
      <c r="C98" s="41">
        <v>1</v>
      </c>
      <c r="D98" s="41" t="s">
        <v>4</v>
      </c>
      <c r="E98" s="10" t="s">
        <v>9</v>
      </c>
      <c r="F98" s="10" t="s">
        <v>9</v>
      </c>
      <c r="G98" s="10" t="s">
        <v>9</v>
      </c>
      <c r="H98" s="102">
        <f>H7</f>
        <v>0.04</v>
      </c>
      <c r="I98" s="10"/>
      <c r="J98" s="40"/>
      <c r="K98" s="10"/>
      <c r="L98" s="40"/>
      <c r="M98" s="40"/>
      <c r="N98" s="10"/>
      <c r="O98" s="42"/>
      <c r="P98" s="40"/>
      <c r="Q98" s="40"/>
      <c r="R98" s="42"/>
      <c r="S98" s="43"/>
      <c r="T98" s="44">
        <f>H98</f>
        <v>0.04</v>
      </c>
      <c r="U98" s="146"/>
      <c r="V98" s="109"/>
      <c r="W98" s="76"/>
      <c r="X98" s="74"/>
      <c r="Y98" s="71"/>
      <c r="Z98" s="119"/>
    </row>
    <row r="99" spans="1:26">
      <c r="A99" s="39">
        <v>1</v>
      </c>
      <c r="B99" s="40">
        <v>8</v>
      </c>
      <c r="C99" s="41">
        <v>2</v>
      </c>
      <c r="D99" s="45" t="s">
        <v>24</v>
      </c>
      <c r="E99" s="10" t="s">
        <v>9</v>
      </c>
      <c r="F99" s="10" t="s">
        <v>9</v>
      </c>
      <c r="G99" s="10" t="s">
        <v>9</v>
      </c>
      <c r="H99" s="102">
        <f>H8</f>
        <v>0.2</v>
      </c>
      <c r="I99" s="10"/>
      <c r="J99" s="40"/>
      <c r="K99" s="10"/>
      <c r="L99" s="40"/>
      <c r="M99" s="40"/>
      <c r="N99" s="10"/>
      <c r="O99" s="42"/>
      <c r="P99" s="40"/>
      <c r="Q99" s="40"/>
      <c r="R99" s="42"/>
      <c r="S99" s="43"/>
      <c r="T99" s="44">
        <f>H99</f>
        <v>0.2</v>
      </c>
      <c r="U99" s="146"/>
      <c r="V99" s="109"/>
      <c r="W99" s="76"/>
      <c r="X99" s="74"/>
      <c r="Y99" s="71"/>
      <c r="Z99" s="119"/>
    </row>
    <row r="100" spans="1:26">
      <c r="A100" s="46">
        <v>1</v>
      </c>
      <c r="B100" s="40">
        <v>8</v>
      </c>
      <c r="C100" s="47">
        <v>3</v>
      </c>
      <c r="D100" s="40" t="s">
        <v>135</v>
      </c>
      <c r="E100" s="48">
        <f>E46</f>
        <v>18</v>
      </c>
      <c r="F100" s="102">
        <f t="shared" ref="F100:F109" si="13">E100/1000</f>
        <v>1.7999999999999999E-2</v>
      </c>
      <c r="G100" s="99">
        <f>G9</f>
        <v>0.13</v>
      </c>
      <c r="H100" s="102">
        <f t="shared" ref="H100:H105" si="14">F100/G100</f>
        <v>0.13846153846153844</v>
      </c>
      <c r="I100" s="10"/>
      <c r="J100" s="40"/>
      <c r="K100" s="10"/>
      <c r="L100" s="40"/>
      <c r="M100" s="40"/>
      <c r="N100" s="10"/>
      <c r="O100" s="42"/>
      <c r="P100" s="50">
        <f>P71</f>
        <v>610</v>
      </c>
      <c r="Q100" s="50">
        <f>Q59</f>
        <v>1220</v>
      </c>
      <c r="R100" s="42"/>
      <c r="S100" s="43"/>
      <c r="T100" s="44">
        <f>H100</f>
        <v>0.13846153846153844</v>
      </c>
      <c r="U100" s="146"/>
      <c r="V100" s="109"/>
      <c r="W100" s="76"/>
      <c r="X100" s="74"/>
      <c r="Y100" s="71"/>
      <c r="Z100" s="119"/>
    </row>
    <row r="101" spans="1:26">
      <c r="A101" s="46">
        <v>1</v>
      </c>
      <c r="B101" s="40">
        <v>8</v>
      </c>
      <c r="C101" s="47">
        <v>4</v>
      </c>
      <c r="D101" s="41" t="s">
        <v>26</v>
      </c>
      <c r="E101" s="48">
        <f>E104-E102</f>
        <v>6</v>
      </c>
      <c r="F101" s="102">
        <f t="shared" si="13"/>
        <v>6.0000000000000001E-3</v>
      </c>
      <c r="G101" s="99">
        <f>G72</f>
        <v>0.16</v>
      </c>
      <c r="H101" s="102">
        <f t="shared" si="14"/>
        <v>3.7499999999999999E-2</v>
      </c>
      <c r="I101" s="10"/>
      <c r="J101" s="40"/>
      <c r="K101" s="10"/>
      <c r="L101" s="40"/>
      <c r="M101" s="40"/>
      <c r="N101" s="10"/>
      <c r="O101" s="42"/>
      <c r="P101" s="40"/>
      <c r="Q101" s="40"/>
      <c r="R101" s="42"/>
      <c r="S101" s="43"/>
      <c r="T101" s="44">
        <f>H101</f>
        <v>3.7499999999999999E-2</v>
      </c>
      <c r="U101" s="146"/>
      <c r="V101" s="109"/>
      <c r="W101" s="76"/>
      <c r="X101" s="74"/>
      <c r="Y101" s="71"/>
      <c r="Z101" s="119"/>
    </row>
    <row r="102" spans="1:26">
      <c r="A102" s="39">
        <v>1</v>
      </c>
      <c r="B102" s="40">
        <v>8</v>
      </c>
      <c r="C102" s="41">
        <v>5.2</v>
      </c>
      <c r="D102" s="41" t="s">
        <v>137</v>
      </c>
      <c r="E102" s="55">
        <f>E73</f>
        <v>270</v>
      </c>
      <c r="F102" s="102">
        <f t="shared" si="13"/>
        <v>0.27</v>
      </c>
      <c r="G102" s="55">
        <f>G17</f>
        <v>4.3999999999999997E-2</v>
      </c>
      <c r="H102" s="102">
        <f t="shared" si="14"/>
        <v>6.1363636363636367</v>
      </c>
      <c r="I102" s="48">
        <f>P102</f>
        <v>600</v>
      </c>
      <c r="J102" s="40"/>
      <c r="K102" s="48">
        <f>Summary!C5</f>
        <v>600</v>
      </c>
      <c r="L102" s="40"/>
      <c r="M102" s="40"/>
      <c r="N102" s="10"/>
      <c r="O102" s="85">
        <f>R102-(O104+O105+O106+O103)</f>
        <v>357071</v>
      </c>
      <c r="P102" s="50">
        <f>Summary!C8</f>
        <v>600</v>
      </c>
      <c r="Q102" s="204">
        <f>Summary!C9</f>
        <v>610</v>
      </c>
      <c r="R102" s="85">
        <f>P102*Q102</f>
        <v>366000</v>
      </c>
      <c r="S102" s="87">
        <f>O102/R102</f>
        <v>0.97560382513661204</v>
      </c>
      <c r="T102" s="44">
        <f t="shared" ref="T102:T108" si="15">H102*S102</f>
        <v>5.9866598360655745</v>
      </c>
      <c r="U102" s="146"/>
      <c r="V102" s="109"/>
      <c r="W102" s="76"/>
      <c r="X102" s="74"/>
      <c r="Y102" s="71"/>
      <c r="Z102" s="119" t="s">
        <v>149</v>
      </c>
    </row>
    <row r="103" spans="1:26">
      <c r="A103" s="46">
        <v>1</v>
      </c>
      <c r="B103" s="40">
        <v>8</v>
      </c>
      <c r="C103" s="41">
        <v>5.7</v>
      </c>
      <c r="D103" s="40" t="s">
        <v>227</v>
      </c>
      <c r="E103" s="48">
        <v>250</v>
      </c>
      <c r="F103" s="102">
        <f>E103/1000</f>
        <v>0.25</v>
      </c>
      <c r="G103" s="99">
        <f>G76</f>
        <v>0.16</v>
      </c>
      <c r="H103" s="102">
        <f t="shared" si="14"/>
        <v>1.5625</v>
      </c>
      <c r="I103" s="206">
        <f>Q103-P103</f>
        <v>10</v>
      </c>
      <c r="K103" s="48">
        <f>Summary!C5</f>
        <v>600</v>
      </c>
      <c r="L103" s="40"/>
      <c r="M103" s="40"/>
      <c r="N103" s="10"/>
      <c r="O103" s="86">
        <f>K103*I103</f>
        <v>6000</v>
      </c>
      <c r="P103" s="50">
        <f>P102</f>
        <v>600</v>
      </c>
      <c r="Q103" s="50">
        <f>Q102</f>
        <v>610</v>
      </c>
      <c r="R103" s="85">
        <f>P103*Q103</f>
        <v>366000</v>
      </c>
      <c r="S103" s="87">
        <f>O103/R103</f>
        <v>1.6393442622950821E-2</v>
      </c>
      <c r="T103" s="44">
        <f>H103*S103</f>
        <v>2.5614754098360656E-2</v>
      </c>
      <c r="U103" s="146"/>
      <c r="V103" s="109"/>
      <c r="W103" s="76"/>
      <c r="X103" s="74"/>
      <c r="Y103" s="71"/>
      <c r="Z103" s="149" t="s">
        <v>139</v>
      </c>
    </row>
    <row r="104" spans="1:26">
      <c r="A104" s="46">
        <v>1</v>
      </c>
      <c r="B104" s="40">
        <v>8</v>
      </c>
      <c r="C104" s="41">
        <v>5.3</v>
      </c>
      <c r="D104" s="40" t="s">
        <v>114</v>
      </c>
      <c r="E104" s="48">
        <f>E74</f>
        <v>276</v>
      </c>
      <c r="F104" s="102">
        <f t="shared" si="13"/>
        <v>0.27600000000000002</v>
      </c>
      <c r="G104" s="99">
        <f>G74</f>
        <v>0.2</v>
      </c>
      <c r="H104" s="102">
        <f t="shared" si="14"/>
        <v>1.3800000000000001</v>
      </c>
      <c r="I104" s="48">
        <f t="shared" ref="I104:N104" si="16">I74</f>
        <v>40</v>
      </c>
      <c r="J104" s="50">
        <f t="shared" si="16"/>
        <v>2</v>
      </c>
      <c r="K104" s="48">
        <f t="shared" si="16"/>
        <v>35</v>
      </c>
      <c r="L104" s="50">
        <f t="shared" si="16"/>
        <v>1</v>
      </c>
      <c r="M104" s="50">
        <f t="shared" si="16"/>
        <v>1.5</v>
      </c>
      <c r="N104" s="48">
        <f t="shared" si="16"/>
        <v>2</v>
      </c>
      <c r="O104" s="85">
        <f>((I104*M104*J104)+(K104*M104*L104)*N104)</f>
        <v>225</v>
      </c>
      <c r="P104" s="50">
        <f>P102</f>
        <v>600</v>
      </c>
      <c r="Q104" s="204">
        <f>Q102*2</f>
        <v>1220</v>
      </c>
      <c r="R104" s="85">
        <f>P104*Q104</f>
        <v>732000</v>
      </c>
      <c r="S104" s="87">
        <f>O104/R104</f>
        <v>3.073770491803279E-4</v>
      </c>
      <c r="T104" s="44">
        <f t="shared" si="15"/>
        <v>4.2418032786885253E-4</v>
      </c>
      <c r="U104" s="146"/>
      <c r="V104" s="109"/>
      <c r="W104" s="76"/>
      <c r="X104" s="74"/>
      <c r="Y104" s="71"/>
      <c r="Z104" s="119" t="s">
        <v>151</v>
      </c>
    </row>
    <row r="105" spans="1:26">
      <c r="A105" s="46">
        <v>1</v>
      </c>
      <c r="B105" s="40">
        <v>8</v>
      </c>
      <c r="C105" s="41">
        <v>5.4</v>
      </c>
      <c r="D105" s="40" t="s">
        <v>115</v>
      </c>
      <c r="E105" s="48">
        <f>E104</f>
        <v>276</v>
      </c>
      <c r="F105" s="102">
        <f t="shared" si="13"/>
        <v>0.27600000000000002</v>
      </c>
      <c r="G105" s="99">
        <f>G74</f>
        <v>0.2</v>
      </c>
      <c r="H105" s="102">
        <f t="shared" si="14"/>
        <v>1.3800000000000001</v>
      </c>
      <c r="I105" s="48">
        <f>I104</f>
        <v>40</v>
      </c>
      <c r="J105" s="50">
        <f t="shared" ref="J105:N105" si="17">J104</f>
        <v>2</v>
      </c>
      <c r="K105" s="48">
        <f t="shared" si="17"/>
        <v>35</v>
      </c>
      <c r="L105" s="50">
        <f t="shared" si="17"/>
        <v>1</v>
      </c>
      <c r="M105" s="50">
        <f t="shared" si="17"/>
        <v>1.5</v>
      </c>
      <c r="N105" s="48">
        <f t="shared" si="17"/>
        <v>2</v>
      </c>
      <c r="O105" s="85">
        <f>((I105*M105*J105)+(K105*M105*L105)*N105)</f>
        <v>225</v>
      </c>
      <c r="P105" s="50">
        <f>P102</f>
        <v>600</v>
      </c>
      <c r="Q105" s="50">
        <f>Q104</f>
        <v>1220</v>
      </c>
      <c r="R105" s="85">
        <f>P105*Q105</f>
        <v>732000</v>
      </c>
      <c r="S105" s="87">
        <f>O105/R105</f>
        <v>3.073770491803279E-4</v>
      </c>
      <c r="T105" s="44">
        <f t="shared" si="15"/>
        <v>4.2418032786885253E-4</v>
      </c>
      <c r="U105" s="146"/>
      <c r="V105" s="109"/>
      <c r="W105" s="76"/>
      <c r="X105" s="74"/>
      <c r="Y105" s="71"/>
      <c r="Z105" s="119"/>
    </row>
    <row r="106" spans="1:26">
      <c r="A106" s="46">
        <v>1</v>
      </c>
      <c r="B106" s="40">
        <v>8</v>
      </c>
      <c r="C106" s="41">
        <v>5.6</v>
      </c>
      <c r="D106" s="40" t="s">
        <v>116</v>
      </c>
      <c r="E106" s="48">
        <f>E104</f>
        <v>276</v>
      </c>
      <c r="F106" s="102">
        <f t="shared" si="13"/>
        <v>0.27600000000000002</v>
      </c>
      <c r="G106" s="99">
        <f>G76</f>
        <v>0.16</v>
      </c>
      <c r="H106" s="102">
        <f t="shared" ref="H106" si="18">F106/G106</f>
        <v>1.7250000000000001</v>
      </c>
      <c r="I106" s="48">
        <f>I104-(J104*M104)</f>
        <v>37</v>
      </c>
      <c r="J106" s="40"/>
      <c r="K106" s="132">
        <f>K104-M104</f>
        <v>33.5</v>
      </c>
      <c r="L106" s="40"/>
      <c r="M106" s="40"/>
      <c r="N106" s="48">
        <f>AVERAGE(N104:N105)</f>
        <v>2</v>
      </c>
      <c r="O106" s="85">
        <f>I106*K106*N106</f>
        <v>2479</v>
      </c>
      <c r="P106" s="50">
        <f>P102</f>
        <v>600</v>
      </c>
      <c r="Q106" s="50">
        <f>Q102</f>
        <v>610</v>
      </c>
      <c r="R106" s="85">
        <f>P106*Q106</f>
        <v>366000</v>
      </c>
      <c r="S106" s="87">
        <f>O106/R106</f>
        <v>6.7732240437158473E-3</v>
      </c>
      <c r="T106" s="44">
        <f t="shared" si="15"/>
        <v>1.1683811475409837E-2</v>
      </c>
      <c r="U106" s="146"/>
      <c r="V106" s="109"/>
      <c r="W106" s="76"/>
      <c r="X106" s="74"/>
      <c r="Y106" s="71"/>
      <c r="Z106" s="119"/>
    </row>
    <row r="107" spans="1:26">
      <c r="A107" s="39">
        <v>1</v>
      </c>
      <c r="B107" s="40">
        <v>8</v>
      </c>
      <c r="C107" s="40">
        <v>6.1</v>
      </c>
      <c r="D107" s="41" t="s">
        <v>121</v>
      </c>
      <c r="E107" s="48">
        <f>E$17</f>
        <v>100</v>
      </c>
      <c r="F107" s="102">
        <f t="shared" si="13"/>
        <v>0.1</v>
      </c>
      <c r="G107" s="55">
        <f>G17</f>
        <v>4.3999999999999997E-2</v>
      </c>
      <c r="H107" s="102">
        <f>F107/G107</f>
        <v>2.2727272727272729</v>
      </c>
      <c r="I107" s="55">
        <f>I$17</f>
        <v>568</v>
      </c>
      <c r="J107" s="49"/>
      <c r="K107" s="10"/>
      <c r="L107" s="40"/>
      <c r="M107" s="40"/>
      <c r="N107" s="10"/>
      <c r="O107" s="42"/>
      <c r="P107" s="50">
        <f t="shared" ref="P107:P108" si="19">P$18</f>
        <v>600</v>
      </c>
      <c r="Q107" s="40"/>
      <c r="R107" s="42"/>
      <c r="S107" s="87">
        <f>I107/P107</f>
        <v>0.94666666666666666</v>
      </c>
      <c r="T107" s="44">
        <f t="shared" si="15"/>
        <v>2.1515151515151518</v>
      </c>
      <c r="U107" s="146"/>
      <c r="V107" s="109"/>
      <c r="W107" s="76"/>
      <c r="X107" s="74"/>
      <c r="Y107" s="71"/>
      <c r="Z107" s="119"/>
    </row>
    <row r="108" spans="1:26">
      <c r="A108" s="39">
        <v>1</v>
      </c>
      <c r="B108" s="40">
        <v>8</v>
      </c>
      <c r="C108" s="40">
        <v>6.2</v>
      </c>
      <c r="D108" s="50" t="str">
        <f>D$18</f>
        <v>32 x 75 timber joists at 600 mm centres</v>
      </c>
      <c r="E108" s="48">
        <f>E$17</f>
        <v>100</v>
      </c>
      <c r="F108" s="102">
        <f t="shared" si="13"/>
        <v>0.1</v>
      </c>
      <c r="G108" s="48">
        <f>G9</f>
        <v>0.13</v>
      </c>
      <c r="H108" s="102">
        <f>F108/G108</f>
        <v>0.76923076923076927</v>
      </c>
      <c r="I108" s="48">
        <f>I$18</f>
        <v>32</v>
      </c>
      <c r="J108" s="40"/>
      <c r="K108" s="10"/>
      <c r="L108" s="40"/>
      <c r="M108" s="40"/>
      <c r="N108" s="10"/>
      <c r="O108" s="42"/>
      <c r="P108" s="50">
        <f t="shared" si="19"/>
        <v>600</v>
      </c>
      <c r="Q108" s="40"/>
      <c r="R108" s="42"/>
      <c r="S108" s="87">
        <f>I108/P108</f>
        <v>5.3333333333333337E-2</v>
      </c>
      <c r="T108" s="44">
        <f t="shared" si="15"/>
        <v>4.1025641025641033E-2</v>
      </c>
      <c r="U108" s="146"/>
      <c r="V108" s="109" t="s">
        <v>29</v>
      </c>
      <c r="W108" s="76" t="s">
        <v>30</v>
      </c>
      <c r="X108" s="73" t="s">
        <v>29</v>
      </c>
      <c r="Y108" s="76" t="s">
        <v>30</v>
      </c>
      <c r="Z108" s="119"/>
    </row>
    <row r="109" spans="1:26">
      <c r="A109" s="39">
        <v>1</v>
      </c>
      <c r="B109" s="40">
        <v>8</v>
      </c>
      <c r="C109" s="41">
        <v>8</v>
      </c>
      <c r="D109" s="41" t="s">
        <v>8</v>
      </c>
      <c r="E109" s="55">
        <f>E19</f>
        <v>12.5</v>
      </c>
      <c r="F109" s="102">
        <f t="shared" si="13"/>
        <v>1.2500000000000001E-2</v>
      </c>
      <c r="G109" s="48">
        <f>G10</f>
        <v>0.25</v>
      </c>
      <c r="H109" s="102">
        <f>F109/G109</f>
        <v>0.05</v>
      </c>
      <c r="I109" s="10"/>
      <c r="J109" s="40"/>
      <c r="K109" s="10"/>
      <c r="L109" s="40"/>
      <c r="M109" s="40"/>
      <c r="N109" s="10"/>
      <c r="O109" s="42"/>
      <c r="P109" s="40"/>
      <c r="Q109" s="40"/>
      <c r="R109" s="42"/>
      <c r="S109" s="43"/>
      <c r="T109" s="44">
        <f>H109</f>
        <v>0.05</v>
      </c>
      <c r="U109" s="146"/>
      <c r="V109" s="109"/>
      <c r="W109" s="76"/>
      <c r="X109" s="74"/>
      <c r="Y109" s="71"/>
      <c r="Z109" s="119"/>
    </row>
    <row r="110" spans="1:26">
      <c r="A110" s="39">
        <v>1</v>
      </c>
      <c r="B110" s="40">
        <v>8</v>
      </c>
      <c r="C110" s="41">
        <v>9</v>
      </c>
      <c r="D110" s="41" t="s">
        <v>3</v>
      </c>
      <c r="E110" s="10" t="s">
        <v>9</v>
      </c>
      <c r="F110" s="10" t="s">
        <v>9</v>
      </c>
      <c r="G110" s="10" t="s">
        <v>9</v>
      </c>
      <c r="H110" s="102">
        <f>H11</f>
        <v>0.1</v>
      </c>
      <c r="I110" s="10"/>
      <c r="J110" s="40"/>
      <c r="K110" s="10"/>
      <c r="L110" s="40"/>
      <c r="M110" s="40"/>
      <c r="N110" s="10"/>
      <c r="O110" s="42"/>
      <c r="P110" s="40"/>
      <c r="Q110" s="40"/>
      <c r="R110" s="42"/>
      <c r="S110" s="43"/>
      <c r="T110" s="44">
        <f>H110</f>
        <v>0.1</v>
      </c>
      <c r="U110" s="146"/>
      <c r="V110" s="109"/>
      <c r="W110" s="76"/>
      <c r="X110" s="74"/>
      <c r="Y110" s="71"/>
      <c r="Z110" s="119"/>
    </row>
    <row r="111" spans="1:26">
      <c r="A111" s="39">
        <v>1</v>
      </c>
      <c r="B111" s="40">
        <v>8</v>
      </c>
      <c r="C111" s="41">
        <v>10</v>
      </c>
      <c r="D111" s="41" t="s">
        <v>15</v>
      </c>
      <c r="E111" s="10" t="s">
        <v>9</v>
      </c>
      <c r="F111" s="10" t="s">
        <v>9</v>
      </c>
      <c r="G111" s="10" t="s">
        <v>9</v>
      </c>
      <c r="H111" s="12">
        <f>SUM(H98:H110)</f>
        <v>15.79178321678322</v>
      </c>
      <c r="I111" s="10"/>
      <c r="J111" s="40"/>
      <c r="K111" s="10"/>
      <c r="L111" s="40"/>
      <c r="M111" s="40"/>
      <c r="N111" s="10"/>
      <c r="O111" s="42"/>
      <c r="P111" s="40"/>
      <c r="Q111" s="40"/>
      <c r="R111" s="42"/>
      <c r="S111" s="43"/>
      <c r="T111" s="13">
        <f>SUM(T98:T110)</f>
        <v>8.7833090932974152</v>
      </c>
      <c r="U111" s="146"/>
      <c r="V111" s="155">
        <v>0.121</v>
      </c>
      <c r="W111" s="154">
        <v>0.114</v>
      </c>
      <c r="X111" s="74">
        <v>0.55000000000000004</v>
      </c>
      <c r="Y111" s="71">
        <v>0.56000000000000005</v>
      </c>
      <c r="Z111" s="119"/>
    </row>
    <row r="112" spans="1:26">
      <c r="A112" s="56">
        <v>1</v>
      </c>
      <c r="B112" s="57">
        <v>8</v>
      </c>
      <c r="C112" s="58">
        <v>11</v>
      </c>
      <c r="D112" s="57"/>
      <c r="E112" s="59" t="s">
        <v>9</v>
      </c>
      <c r="F112" s="59" t="s">
        <v>9</v>
      </c>
      <c r="G112" s="59" t="s">
        <v>9</v>
      </c>
      <c r="H112" s="65"/>
      <c r="I112" s="59"/>
      <c r="J112" s="57"/>
      <c r="K112" s="59"/>
      <c r="L112" s="57"/>
      <c r="M112" s="57"/>
      <c r="N112" s="59"/>
      <c r="O112" s="60"/>
      <c r="P112" s="57"/>
      <c r="Q112" s="57"/>
      <c r="R112" s="60"/>
      <c r="S112" s="61"/>
      <c r="T112" s="64"/>
      <c r="U112" s="138">
        <f>1/T111</f>
        <v>0.1138523066167744</v>
      </c>
      <c r="V112" s="156">
        <f>IF(E108=75,U112,0)</f>
        <v>0</v>
      </c>
      <c r="W112" s="157">
        <f>IF(E108=100,U112,0)</f>
        <v>0.1138523066167744</v>
      </c>
      <c r="X112" s="81">
        <f>IF(E108=75,(T111/H111),0)</f>
        <v>0</v>
      </c>
      <c r="Y112" s="82">
        <f>IF(E108=100,(T111/H111),0)</f>
        <v>0.55619488772887116</v>
      </c>
      <c r="Z112" s="129"/>
    </row>
    <row r="113" spans="1:25">
      <c r="A113" s="5">
        <v>2</v>
      </c>
      <c r="B113" s="5">
        <v>1</v>
      </c>
      <c r="C113" s="5">
        <v>7</v>
      </c>
      <c r="D113" s="5" t="s">
        <v>25</v>
      </c>
      <c r="E113" s="2"/>
      <c r="F113" s="2"/>
      <c r="G113" s="2"/>
      <c r="H113" s="8"/>
      <c r="V113" s="151" t="s">
        <v>109</v>
      </c>
      <c r="W113" s="151" t="s">
        <v>109</v>
      </c>
      <c r="X113" s="151" t="s">
        <v>109</v>
      </c>
      <c r="Y113" s="151" t="s">
        <v>109</v>
      </c>
    </row>
  </sheetData>
  <sortState ref="A1:AE87">
    <sortCondition ref="A1:A87"/>
    <sortCondition ref="B1:B87"/>
    <sortCondition ref="C1:C87"/>
  </sortState>
  <mergeCells count="5">
    <mergeCell ref="V48:W48"/>
    <mergeCell ref="X48:Y48"/>
    <mergeCell ref="V60:W60"/>
    <mergeCell ref="X60:Y60"/>
    <mergeCell ref="E2:K2"/>
  </mergeCells>
  <phoneticPr fontId="10" type="noConversion"/>
  <printOptions horizontalCentered="1" verticalCentered="1"/>
  <pageMargins left="0" right="0" top="0" bottom="0" header="0" footer="0"/>
  <pageSetup paperSize="9" scale="26" orientation="landscape" horizontalDpi="4294967292" verticalDpi="4294967292"/>
  <headerFooter>
    <oddFooter>&amp;L&amp;"Calibri,Regular"&amp;K000000(c) GBE 2016&amp;C&amp;"Calibri,Regular"&amp;K000000&amp;F&amp;R&amp;"Calibri,Regular"&amp;K000000&amp;A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/>
  </sheetViews>
  <sheetFormatPr baseColWidth="10" defaultRowHeight="15" x14ac:dyDescent="0"/>
  <cols>
    <col min="3" max="3" width="54.6640625" bestFit="1" customWidth="1"/>
  </cols>
  <sheetData>
    <row r="2" spans="2:3">
      <c r="B2" s="18"/>
      <c r="C2" t="s">
        <v>31</v>
      </c>
    </row>
    <row r="3" spans="2:3">
      <c r="B3" s="19"/>
      <c r="C3" t="s">
        <v>32</v>
      </c>
    </row>
    <row r="4" spans="2:3" s="161" customFormat="1">
      <c r="C4" s="161" t="s">
        <v>33</v>
      </c>
    </row>
    <row r="5" spans="2:3">
      <c r="B5" s="160" t="s">
        <v>35</v>
      </c>
      <c r="C5" t="s">
        <v>34</v>
      </c>
    </row>
    <row r="6" spans="2:3">
      <c r="B6" s="160" t="s">
        <v>35</v>
      </c>
      <c r="C6" t="s">
        <v>162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4"/>
  <sheetViews>
    <sheetView workbookViewId="0">
      <selection activeCell="Q3" sqref="Q3"/>
    </sheetView>
  </sheetViews>
  <sheetFormatPr baseColWidth="10" defaultRowHeight="15" x14ac:dyDescent="0"/>
  <cols>
    <col min="1" max="2" width="2.1640625" bestFit="1" customWidth="1"/>
    <col min="3" max="3" width="4.1640625" bestFit="1" customWidth="1"/>
    <col min="4" max="4" width="56.83203125" bestFit="1" customWidth="1"/>
    <col min="5" max="5" width="5.1640625" bestFit="1" customWidth="1"/>
    <col min="6" max="6" width="7.1640625" bestFit="1" customWidth="1"/>
    <col min="7" max="7" width="8" bestFit="1" customWidth="1"/>
    <col min="8" max="8" width="9.1640625" bestFit="1" customWidth="1"/>
    <col min="9" max="10" width="4.1640625" bestFit="1" customWidth="1"/>
    <col min="11" max="11" width="7.1640625" bestFit="1" customWidth="1"/>
    <col min="12" max="12" width="8" customWidth="1"/>
    <col min="13" max="14" width="9.1640625" bestFit="1" customWidth="1"/>
    <col min="15" max="15" width="10.33203125" bestFit="1" customWidth="1"/>
    <col min="16" max="16" width="9" bestFit="1" customWidth="1"/>
    <col min="17" max="17" width="10.33203125" bestFit="1" customWidth="1"/>
    <col min="18" max="18" width="72.5" bestFit="1" customWidth="1"/>
  </cols>
  <sheetData>
    <row r="1" spans="1:18">
      <c r="H1" s="7"/>
      <c r="I1" s="2"/>
      <c r="K1" s="22"/>
      <c r="L1" s="9"/>
      <c r="M1" s="69"/>
      <c r="N1" s="69"/>
      <c r="O1" s="69"/>
      <c r="P1" s="69"/>
      <c r="Q1" s="69"/>
      <c r="R1" s="91"/>
    </row>
    <row r="2" spans="1:18" ht="23" customHeight="1">
      <c r="D2" s="253" t="s">
        <v>66</v>
      </c>
      <c r="E2" s="253"/>
      <c r="F2" s="253"/>
      <c r="G2" s="252" t="s">
        <v>256</v>
      </c>
      <c r="H2" s="252"/>
      <c r="I2" s="252"/>
      <c r="J2" s="252"/>
      <c r="K2" s="252"/>
      <c r="L2" s="252"/>
      <c r="M2" s="252"/>
      <c r="N2" s="252"/>
      <c r="O2" s="252"/>
      <c r="P2" s="251"/>
      <c r="Q2" s="69"/>
      <c r="R2" s="91"/>
    </row>
    <row r="3" spans="1:18" ht="102">
      <c r="A3" s="2">
        <v>0</v>
      </c>
      <c r="B3" s="2">
        <v>0</v>
      </c>
      <c r="C3" s="3" t="s">
        <v>7</v>
      </c>
      <c r="D3" s="3" t="s">
        <v>0</v>
      </c>
      <c r="E3" s="3" t="s">
        <v>12</v>
      </c>
      <c r="F3" s="3" t="s">
        <v>13</v>
      </c>
      <c r="G3" s="4" t="s">
        <v>5</v>
      </c>
      <c r="H3" s="28" t="s">
        <v>6</v>
      </c>
      <c r="I3" s="3" t="s">
        <v>11</v>
      </c>
      <c r="J3" s="3" t="s">
        <v>18</v>
      </c>
      <c r="K3" s="21" t="s">
        <v>10</v>
      </c>
      <c r="L3" s="266" t="s">
        <v>271</v>
      </c>
      <c r="M3" s="3" t="s">
        <v>243</v>
      </c>
      <c r="N3" s="3" t="s">
        <v>244</v>
      </c>
      <c r="O3" s="69"/>
      <c r="P3" s="69"/>
      <c r="Q3" s="69"/>
      <c r="R3" s="91"/>
    </row>
    <row r="4" spans="1:18">
      <c r="A4" s="2"/>
      <c r="B4" s="2"/>
      <c r="C4" s="3"/>
      <c r="D4" s="94" t="s">
        <v>82</v>
      </c>
      <c r="E4" s="3"/>
      <c r="F4" s="3"/>
      <c r="G4" s="4"/>
      <c r="H4" s="28"/>
      <c r="I4" s="3"/>
      <c r="J4" s="3"/>
      <c r="K4" s="21"/>
      <c r="L4" s="27"/>
      <c r="M4" s="69"/>
      <c r="N4" s="69"/>
      <c r="O4" s="69"/>
      <c r="P4" s="69"/>
      <c r="Q4" s="69"/>
      <c r="R4" s="91"/>
    </row>
    <row r="5" spans="1:18">
      <c r="A5">
        <v>0</v>
      </c>
      <c r="B5">
        <v>0</v>
      </c>
      <c r="E5" s="2"/>
      <c r="F5" s="2"/>
      <c r="G5" s="2" t="s">
        <v>2</v>
      </c>
      <c r="H5" s="8" t="s">
        <v>28</v>
      </c>
      <c r="I5" s="2"/>
      <c r="K5" s="22"/>
      <c r="L5" s="9"/>
      <c r="M5" s="69" t="s">
        <v>27</v>
      </c>
      <c r="N5" s="69" t="s">
        <v>27</v>
      </c>
      <c r="O5" s="69"/>
      <c r="P5" s="69"/>
      <c r="Q5" s="69"/>
      <c r="R5" s="91"/>
    </row>
    <row r="6" spans="1:18" ht="30" customHeight="1">
      <c r="A6" s="5">
        <v>1</v>
      </c>
      <c r="B6" s="5">
        <v>2</v>
      </c>
      <c r="C6" s="5">
        <v>0</v>
      </c>
      <c r="D6" s="213" t="s">
        <v>67</v>
      </c>
      <c r="E6" s="6"/>
      <c r="F6" s="6"/>
      <c r="G6" s="6"/>
      <c r="H6" s="31"/>
      <c r="I6" s="6"/>
      <c r="J6" s="5"/>
      <c r="K6" s="214"/>
      <c r="L6" s="215"/>
      <c r="M6" s="216"/>
      <c r="N6" s="69"/>
      <c r="O6" s="69"/>
      <c r="P6" s="69"/>
      <c r="Q6" s="69"/>
      <c r="R6" s="91"/>
    </row>
    <row r="7" spans="1:18">
      <c r="A7" s="5">
        <v>1</v>
      </c>
      <c r="B7" s="5">
        <v>2</v>
      </c>
      <c r="C7" s="5">
        <v>1</v>
      </c>
      <c r="D7" s="5" t="s">
        <v>4</v>
      </c>
      <c r="E7" s="6" t="s">
        <v>9</v>
      </c>
      <c r="F7" s="6" t="s">
        <v>9</v>
      </c>
      <c r="G7" s="6" t="s">
        <v>9</v>
      </c>
      <c r="H7" s="222">
        <v>0.04</v>
      </c>
      <c r="I7" s="6"/>
      <c r="J7" s="5"/>
      <c r="K7" s="214"/>
      <c r="L7" s="225">
        <f>H7</f>
        <v>0.04</v>
      </c>
      <c r="M7" s="216"/>
      <c r="N7" s="69"/>
      <c r="O7" s="69"/>
      <c r="P7" s="69"/>
      <c r="Q7" s="69"/>
      <c r="R7" s="91"/>
    </row>
    <row r="8" spans="1:18">
      <c r="A8" s="5">
        <v>1</v>
      </c>
      <c r="B8" s="5">
        <v>2</v>
      </c>
      <c r="C8" s="5">
        <v>2</v>
      </c>
      <c r="D8" s="11" t="s">
        <v>24</v>
      </c>
      <c r="E8" s="6" t="s">
        <v>9</v>
      </c>
      <c r="F8" s="6" t="s">
        <v>9</v>
      </c>
      <c r="G8" s="6" t="s">
        <v>9</v>
      </c>
      <c r="H8" s="222">
        <v>0.2</v>
      </c>
      <c r="I8" s="6"/>
      <c r="J8" s="5"/>
      <c r="K8" s="214"/>
      <c r="L8" s="225">
        <f>H8</f>
        <v>0.2</v>
      </c>
      <c r="M8" s="216"/>
      <c r="N8" s="69"/>
      <c r="O8" s="69"/>
      <c r="P8" s="69"/>
      <c r="Q8" s="69"/>
      <c r="R8" s="91"/>
    </row>
    <row r="9" spans="1:18">
      <c r="A9" s="5">
        <v>1</v>
      </c>
      <c r="B9" s="5">
        <v>2</v>
      </c>
      <c r="C9" s="5">
        <v>5.2</v>
      </c>
      <c r="D9" s="5" t="s">
        <v>122</v>
      </c>
      <c r="E9" s="220">
        <v>350</v>
      </c>
      <c r="F9" s="101">
        <f>E9/1000</f>
        <v>0.35</v>
      </c>
      <c r="G9" s="221">
        <v>4.3999999999999997E-2</v>
      </c>
      <c r="H9" s="101">
        <f>F9/G9</f>
        <v>7.9545454545454541</v>
      </c>
      <c r="I9" s="6"/>
      <c r="J9" s="5"/>
      <c r="K9" s="214"/>
      <c r="L9" s="225">
        <f>H9</f>
        <v>7.9545454545454541</v>
      </c>
      <c r="M9" s="216"/>
      <c r="N9" s="69"/>
      <c r="O9" s="69"/>
      <c r="P9" s="69"/>
      <c r="Q9" s="69"/>
      <c r="R9" s="91"/>
    </row>
    <row r="10" spans="1:18">
      <c r="A10" s="5">
        <v>1</v>
      </c>
      <c r="B10" s="5">
        <v>2</v>
      </c>
      <c r="C10" s="5">
        <v>6.1</v>
      </c>
      <c r="D10" s="5" t="s">
        <v>121</v>
      </c>
      <c r="E10" s="217">
        <f>E11</f>
        <v>75</v>
      </c>
      <c r="F10" s="101">
        <f>E10/1000</f>
        <v>7.4999999999999997E-2</v>
      </c>
      <c r="G10" s="217">
        <f>G9</f>
        <v>4.3999999999999997E-2</v>
      </c>
      <c r="H10" s="101">
        <f>F10/G10</f>
        <v>1.7045454545454546</v>
      </c>
      <c r="I10" s="217">
        <f>J10-I11</f>
        <v>568</v>
      </c>
      <c r="J10" s="223">
        <v>600</v>
      </c>
      <c r="K10" s="88">
        <f>I10/J10</f>
        <v>0.94666666666666666</v>
      </c>
      <c r="L10" s="225">
        <f>H10*K10</f>
        <v>1.6136363636363638</v>
      </c>
      <c r="M10" s="216"/>
      <c r="N10" s="69"/>
      <c r="O10" s="69"/>
      <c r="P10" s="69"/>
      <c r="Q10" s="69"/>
      <c r="R10" s="91"/>
    </row>
    <row r="11" spans="1:18">
      <c r="A11" s="5">
        <v>1</v>
      </c>
      <c r="B11" s="5">
        <v>2</v>
      </c>
      <c r="C11" s="5">
        <v>6.2</v>
      </c>
      <c r="D11" s="113" t="s">
        <v>241</v>
      </c>
      <c r="E11" s="221">
        <v>75</v>
      </c>
      <c r="F11" s="101">
        <f>E11/1000</f>
        <v>7.4999999999999997E-2</v>
      </c>
      <c r="G11" s="217">
        <v>0.13</v>
      </c>
      <c r="H11" s="101">
        <f>F11/G11</f>
        <v>0.57692307692307687</v>
      </c>
      <c r="I11" s="221">
        <v>32</v>
      </c>
      <c r="J11" s="224">
        <f>J10</f>
        <v>600</v>
      </c>
      <c r="K11" s="88">
        <f>I11/J11</f>
        <v>5.3333333333333337E-2</v>
      </c>
      <c r="L11" s="225">
        <f>H11*K11</f>
        <v>3.0769230769230767E-2</v>
      </c>
      <c r="M11" s="216"/>
      <c r="N11" s="69"/>
      <c r="O11" s="69"/>
      <c r="P11" s="69"/>
      <c r="Q11" s="69"/>
      <c r="R11" s="91"/>
    </row>
    <row r="12" spans="1:18">
      <c r="A12" s="5">
        <v>1</v>
      </c>
      <c r="B12" s="5">
        <v>2</v>
      </c>
      <c r="C12" s="5">
        <v>8</v>
      </c>
      <c r="D12" s="5" t="s">
        <v>8</v>
      </c>
      <c r="E12" s="221">
        <v>12.5</v>
      </c>
      <c r="F12" s="101">
        <f>E12/1000</f>
        <v>1.2500000000000001E-2</v>
      </c>
      <c r="G12" s="217">
        <v>0.25</v>
      </c>
      <c r="H12" s="101">
        <f>F12/G12</f>
        <v>0.05</v>
      </c>
      <c r="I12" s="6"/>
      <c r="J12" s="5"/>
      <c r="K12" s="214"/>
      <c r="L12" s="225">
        <f>H12</f>
        <v>0.05</v>
      </c>
      <c r="M12" s="216"/>
      <c r="N12" s="69"/>
      <c r="O12" s="69"/>
      <c r="P12" s="69"/>
      <c r="Q12" s="69"/>
      <c r="R12" s="91"/>
    </row>
    <row r="13" spans="1:18">
      <c r="A13" s="5">
        <v>1</v>
      </c>
      <c r="B13" s="5">
        <v>2</v>
      </c>
      <c r="C13" s="5">
        <v>9</v>
      </c>
      <c r="D13" s="5" t="s">
        <v>3</v>
      </c>
      <c r="E13" s="6" t="s">
        <v>9</v>
      </c>
      <c r="F13" s="6" t="s">
        <v>9</v>
      </c>
      <c r="G13" s="6" t="s">
        <v>9</v>
      </c>
      <c r="H13" s="222">
        <v>0.1</v>
      </c>
      <c r="I13" s="6"/>
      <c r="J13" s="5"/>
      <c r="K13" s="214"/>
      <c r="L13" s="225">
        <f>H13</f>
        <v>0.1</v>
      </c>
      <c r="M13" s="216"/>
      <c r="N13" s="69"/>
      <c r="O13" s="69"/>
      <c r="P13" s="69"/>
      <c r="Q13" s="69"/>
      <c r="R13" s="91"/>
    </row>
    <row r="14" spans="1:18">
      <c r="A14" s="5">
        <v>1</v>
      </c>
      <c r="B14" s="5">
        <v>2</v>
      </c>
      <c r="C14" s="5">
        <v>10</v>
      </c>
      <c r="D14" s="5" t="s">
        <v>269</v>
      </c>
      <c r="E14" s="6" t="s">
        <v>9</v>
      </c>
      <c r="F14" s="6" t="s">
        <v>9</v>
      </c>
      <c r="G14" s="6" t="s">
        <v>9</v>
      </c>
      <c r="H14" s="218">
        <f>SUM(H7:H13)</f>
        <v>10.626013986013986</v>
      </c>
      <c r="I14" s="6"/>
      <c r="J14" s="5"/>
      <c r="K14" s="214"/>
      <c r="L14" s="14">
        <f>SUM(L7:L13)</f>
        <v>9.9889510489510478</v>
      </c>
      <c r="M14" s="216"/>
      <c r="N14" s="69"/>
      <c r="O14" s="69"/>
      <c r="P14" s="69"/>
      <c r="Q14" s="69"/>
      <c r="R14" s="91"/>
    </row>
    <row r="15" spans="1:18">
      <c r="A15" s="5">
        <v>1</v>
      </c>
      <c r="B15" s="5">
        <v>2</v>
      </c>
      <c r="C15" s="5">
        <v>11</v>
      </c>
      <c r="D15" s="5" t="s">
        <v>270</v>
      </c>
      <c r="M15" s="142">
        <f>1/L14</f>
        <v>0.10011061172484284</v>
      </c>
      <c r="O15" s="2" t="s">
        <v>27</v>
      </c>
      <c r="P15" s="69"/>
      <c r="Q15" s="69"/>
      <c r="R15" s="91"/>
    </row>
    <row r="16" spans="1:18">
      <c r="A16" s="5"/>
      <c r="B16" s="5"/>
      <c r="C16" s="5">
        <v>12</v>
      </c>
      <c r="D16" s="5" t="s">
        <v>242</v>
      </c>
      <c r="E16" s="226">
        <f>E9+E10</f>
        <v>425</v>
      </c>
      <c r="M16" s="69"/>
      <c r="N16" s="69"/>
      <c r="O16" s="2"/>
      <c r="P16" s="69"/>
      <c r="Q16" s="69"/>
      <c r="R16" s="91"/>
    </row>
    <row r="17" spans="1:18">
      <c r="A17" s="5">
        <v>1</v>
      </c>
      <c r="B17" s="5">
        <v>2</v>
      </c>
      <c r="C17" s="5">
        <v>13</v>
      </c>
      <c r="D17" s="247" t="s">
        <v>239</v>
      </c>
      <c r="E17" s="248"/>
      <c r="F17" s="249"/>
      <c r="G17" s="249"/>
      <c r="H17" s="249"/>
      <c r="I17" s="249"/>
      <c r="J17" s="249"/>
      <c r="K17" s="249"/>
      <c r="L17" s="249"/>
      <c r="M17" s="250"/>
      <c r="N17" s="246">
        <v>0.15</v>
      </c>
      <c r="O17" s="2" t="s">
        <v>27</v>
      </c>
      <c r="P17" s="69"/>
      <c r="Q17" s="69"/>
      <c r="R17" s="91"/>
    </row>
    <row r="18" spans="1:18">
      <c r="A18" s="5">
        <v>1</v>
      </c>
      <c r="B18" s="5">
        <v>2</v>
      </c>
      <c r="C18" s="5">
        <v>14</v>
      </c>
      <c r="D18" s="247" t="s">
        <v>236</v>
      </c>
      <c r="E18" s="248"/>
      <c r="F18" s="249"/>
      <c r="G18" s="249"/>
      <c r="H18" s="249"/>
      <c r="I18" s="249"/>
      <c r="J18" s="249"/>
      <c r="K18" s="249"/>
      <c r="L18" s="249"/>
      <c r="M18" s="250"/>
      <c r="N18" s="246">
        <v>0.15</v>
      </c>
      <c r="O18" s="2" t="s">
        <v>27</v>
      </c>
      <c r="P18" s="69"/>
      <c r="Q18" s="69"/>
      <c r="R18" s="91"/>
    </row>
    <row r="19" spans="1:18">
      <c r="A19" s="5">
        <v>1</v>
      </c>
      <c r="B19" s="5">
        <v>2</v>
      </c>
      <c r="C19" s="5">
        <v>15</v>
      </c>
      <c r="D19" s="247" t="s">
        <v>237</v>
      </c>
      <c r="E19" s="248"/>
      <c r="F19" s="249"/>
      <c r="G19" s="249"/>
      <c r="H19" s="249"/>
      <c r="I19" s="249"/>
      <c r="J19" s="249"/>
      <c r="K19" s="249"/>
      <c r="L19" s="249"/>
      <c r="M19" s="250"/>
      <c r="N19" s="246">
        <v>0.15</v>
      </c>
      <c r="O19" s="2" t="s">
        <v>27</v>
      </c>
    </row>
    <row r="20" spans="1:18">
      <c r="A20" s="5">
        <v>1</v>
      </c>
      <c r="B20" s="5">
        <v>2</v>
      </c>
      <c r="C20" s="5">
        <v>16</v>
      </c>
      <c r="D20" s="247" t="s">
        <v>238</v>
      </c>
      <c r="E20" s="248"/>
      <c r="F20" s="249"/>
      <c r="G20" s="249"/>
      <c r="H20" s="249"/>
      <c r="I20" s="249"/>
      <c r="J20" s="249"/>
      <c r="K20" s="249"/>
      <c r="L20" s="249"/>
      <c r="M20" s="250"/>
      <c r="N20" s="246">
        <v>0.15</v>
      </c>
      <c r="O20" s="2" t="s">
        <v>27</v>
      </c>
    </row>
    <row r="21" spans="1:18">
      <c r="A21" s="5">
        <v>1</v>
      </c>
      <c r="B21" s="5">
        <v>2</v>
      </c>
      <c r="C21" s="5">
        <v>17</v>
      </c>
      <c r="D21" s="247" t="s">
        <v>240</v>
      </c>
      <c r="E21" s="248"/>
      <c r="F21" s="249"/>
      <c r="G21" s="249"/>
      <c r="H21" s="249"/>
      <c r="I21" s="249"/>
      <c r="J21" s="249"/>
      <c r="K21" s="249"/>
      <c r="L21" s="249"/>
      <c r="M21" s="250"/>
      <c r="N21" s="246">
        <v>0.15</v>
      </c>
      <c r="O21" s="2" t="s">
        <v>27</v>
      </c>
    </row>
    <row r="22" spans="1:18">
      <c r="A22" s="5">
        <v>1</v>
      </c>
      <c r="B22" s="5">
        <v>2</v>
      </c>
      <c r="C22" s="5">
        <v>18</v>
      </c>
      <c r="D22" s="247" t="s">
        <v>255</v>
      </c>
      <c r="E22" s="248"/>
      <c r="F22" s="249"/>
      <c r="G22" s="249"/>
      <c r="H22" s="249"/>
      <c r="I22" s="249"/>
      <c r="J22" s="249"/>
      <c r="K22" s="249"/>
      <c r="L22" s="249"/>
      <c r="M22" s="250"/>
      <c r="N22" s="246">
        <v>0.1</v>
      </c>
      <c r="O22" s="2" t="s">
        <v>27</v>
      </c>
    </row>
    <row r="24" spans="1:18" ht="76" customHeight="1">
      <c r="E24" s="265" t="str">
        <f>Summary!I24</f>
        <v>NB: _x000D_These design standards do not normally state U values but set maximum building energy demands and their respective software determines U values based on many building and site parameters. _x000D_These U values are only give as an example.</v>
      </c>
      <c r="F24" s="265"/>
      <c r="G24" s="265"/>
      <c r="H24" s="265"/>
      <c r="I24" s="265"/>
      <c r="J24" s="265"/>
      <c r="K24" s="265"/>
      <c r="L24" s="265"/>
      <c r="M24" s="265"/>
      <c r="N24" s="265"/>
    </row>
  </sheetData>
  <mergeCells count="3">
    <mergeCell ref="E24:N24"/>
    <mergeCell ref="D2:F2"/>
    <mergeCell ref="G2:O2"/>
  </mergeCells>
  <phoneticPr fontId="10" type="noConversion"/>
  <conditionalFormatting sqref="M15">
    <cfRule type="cellIs" dxfId="8" priority="8" operator="lessThan">
      <formula>$N$15</formula>
    </cfRule>
    <cfRule type="cellIs" dxfId="7" priority="9" operator="greaterThan">
      <formula>$N$15</formula>
    </cfRule>
  </conditionalFormatting>
  <conditionalFormatting sqref="N17:N22">
    <cfRule type="cellIs" dxfId="6" priority="3" operator="greaterThan">
      <formula>$M$15</formula>
    </cfRule>
    <cfRule type="cellIs" dxfId="5" priority="4" operator="lessThan">
      <formula>$M$15</formula>
    </cfRule>
    <cfRule type="cellIs" dxfId="4" priority="5" operator="greaterThan">
      <formula>$M$15</formula>
    </cfRule>
    <cfRule type="cellIs" dxfId="3" priority="6" operator="lessThanOrEqual">
      <formula>$M$15</formula>
    </cfRule>
    <cfRule type="cellIs" dxfId="2" priority="7" operator="greaterThan">
      <formula>$M$15</formula>
    </cfRule>
  </conditionalFormatting>
  <conditionalFormatting sqref="D17">
    <cfRule type="expression" dxfId="1" priority="2">
      <formula>"IF($U$15)&gt;($V$16)"</formula>
    </cfRule>
  </conditionalFormatting>
  <conditionalFormatting sqref="D17:D22">
    <cfRule type="expression" dxfId="0" priority="1">
      <formula>"IF($V$16)&gt;$U$15"</formula>
    </cfRule>
  </conditionalFormatting>
  <printOptions horizontalCentered="1" verticalCentered="1"/>
  <pageMargins left="0.39000000000000007" right="0.39000000000000007" top="0.39370078740157483" bottom="0.39000000000000007" header="0" footer="0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2" workbookViewId="0">
      <selection activeCell="G54" sqref="G54"/>
    </sheetView>
  </sheetViews>
  <sheetFormatPr baseColWidth="10" defaultRowHeight="15" x14ac:dyDescent="0"/>
  <cols>
    <col min="2" max="2" width="74.6640625" bestFit="1" customWidth="1"/>
    <col min="4" max="4" width="11.83203125" bestFit="1" customWidth="1"/>
    <col min="5" max="5" width="15.83203125" bestFit="1" customWidth="1"/>
    <col min="6" max="6" width="14.5" bestFit="1" customWidth="1"/>
    <col min="7" max="7" width="66.6640625" bestFit="1" customWidth="1"/>
  </cols>
  <sheetData>
    <row r="1" spans="1:10">
      <c r="A1" s="77" t="s">
        <v>36</v>
      </c>
      <c r="B1" s="77" t="s">
        <v>37</v>
      </c>
      <c r="C1" s="77" t="s">
        <v>38</v>
      </c>
      <c r="D1" s="77" t="s">
        <v>39</v>
      </c>
      <c r="E1" s="77" t="s">
        <v>40</v>
      </c>
      <c r="F1" s="77" t="s">
        <v>41</v>
      </c>
      <c r="G1" s="77" t="s">
        <v>42</v>
      </c>
      <c r="H1" s="77" t="s">
        <v>60</v>
      </c>
      <c r="I1" s="77" t="s">
        <v>65</v>
      </c>
      <c r="J1" s="77" t="s">
        <v>65</v>
      </c>
    </row>
    <row r="2" spans="1:10">
      <c r="A2" t="s">
        <v>45</v>
      </c>
      <c r="B2" t="s">
        <v>46</v>
      </c>
      <c r="C2" t="s">
        <v>44</v>
      </c>
      <c r="D2" t="s">
        <v>43</v>
      </c>
      <c r="E2" s="78">
        <v>42656</v>
      </c>
      <c r="F2" s="77" t="s">
        <v>56</v>
      </c>
      <c r="G2" t="s">
        <v>52</v>
      </c>
      <c r="H2" s="77"/>
    </row>
    <row r="3" spans="1:10">
      <c r="A3" t="s">
        <v>45</v>
      </c>
      <c r="B3" t="s">
        <v>58</v>
      </c>
      <c r="C3" t="s">
        <v>44</v>
      </c>
      <c r="D3" t="s">
        <v>43</v>
      </c>
      <c r="E3" s="78">
        <v>42657</v>
      </c>
      <c r="F3" t="s">
        <v>73</v>
      </c>
    </row>
    <row r="4" spans="1:10">
      <c r="A4" t="s">
        <v>45</v>
      </c>
      <c r="B4" t="s">
        <v>53</v>
      </c>
      <c r="D4" t="s">
        <v>55</v>
      </c>
      <c r="E4" s="78" t="s">
        <v>54</v>
      </c>
    </row>
    <row r="5" spans="1:10">
      <c r="A5" t="s">
        <v>45</v>
      </c>
      <c r="B5" t="s">
        <v>49</v>
      </c>
      <c r="C5" t="s">
        <v>44</v>
      </c>
      <c r="D5" t="s">
        <v>43</v>
      </c>
      <c r="E5" s="78">
        <v>42657</v>
      </c>
      <c r="F5" t="s">
        <v>48</v>
      </c>
    </row>
    <row r="6" spans="1:10">
      <c r="A6" t="s">
        <v>45</v>
      </c>
      <c r="B6" t="s">
        <v>50</v>
      </c>
      <c r="C6" t="s">
        <v>44</v>
      </c>
      <c r="D6" t="s">
        <v>43</v>
      </c>
      <c r="E6" s="78">
        <v>42656</v>
      </c>
      <c r="F6" t="s">
        <v>51</v>
      </c>
    </row>
    <row r="7" spans="1:10">
      <c r="A7" t="s">
        <v>45</v>
      </c>
      <c r="B7" t="s">
        <v>57</v>
      </c>
      <c r="C7" t="s">
        <v>44</v>
      </c>
      <c r="D7" t="s">
        <v>43</v>
      </c>
      <c r="E7" s="78">
        <v>42656</v>
      </c>
      <c r="F7" t="s">
        <v>56</v>
      </c>
    </row>
    <row r="8" spans="1:10">
      <c r="A8" t="s">
        <v>45</v>
      </c>
      <c r="B8" t="s">
        <v>59</v>
      </c>
      <c r="C8" t="s">
        <v>44</v>
      </c>
      <c r="D8" t="s">
        <v>43</v>
      </c>
      <c r="E8" s="78">
        <v>42657</v>
      </c>
      <c r="F8" t="s">
        <v>73</v>
      </c>
    </row>
    <row r="9" spans="1:10">
      <c r="A9" t="s">
        <v>45</v>
      </c>
      <c r="B9" t="s">
        <v>61</v>
      </c>
      <c r="C9" t="s">
        <v>44</v>
      </c>
      <c r="D9" t="s">
        <v>43</v>
      </c>
      <c r="E9" s="78">
        <v>42657</v>
      </c>
      <c r="G9" t="s">
        <v>64</v>
      </c>
      <c r="I9" t="s">
        <v>62</v>
      </c>
      <c r="J9" s="164" t="s">
        <v>231</v>
      </c>
    </row>
    <row r="10" spans="1:10">
      <c r="A10" t="s">
        <v>71</v>
      </c>
      <c r="B10" t="s">
        <v>69</v>
      </c>
      <c r="C10" t="s">
        <v>44</v>
      </c>
      <c r="D10" t="s">
        <v>43</v>
      </c>
      <c r="E10" s="78">
        <v>42675</v>
      </c>
      <c r="F10" t="s">
        <v>70</v>
      </c>
    </row>
    <row r="11" spans="1:10">
      <c r="A11" t="s">
        <v>71</v>
      </c>
      <c r="B11" t="s">
        <v>72</v>
      </c>
      <c r="C11" t="s">
        <v>44</v>
      </c>
      <c r="D11" t="s">
        <v>43</v>
      </c>
      <c r="E11" s="78">
        <v>42675</v>
      </c>
      <c r="F11" t="s">
        <v>73</v>
      </c>
    </row>
    <row r="12" spans="1:10">
      <c r="A12" t="s">
        <v>71</v>
      </c>
      <c r="B12" t="s">
        <v>102</v>
      </c>
      <c r="C12" t="s">
        <v>44</v>
      </c>
      <c r="D12" t="s">
        <v>43</v>
      </c>
      <c r="E12" s="78">
        <v>42676</v>
      </c>
    </row>
    <row r="13" spans="1:10">
      <c r="A13" t="s">
        <v>71</v>
      </c>
      <c r="B13" t="s">
        <v>101</v>
      </c>
      <c r="C13" t="s">
        <v>44</v>
      </c>
      <c r="D13" t="s">
        <v>43</v>
      </c>
      <c r="E13" s="78">
        <v>42676</v>
      </c>
      <c r="F13" t="s">
        <v>70</v>
      </c>
    </row>
    <row r="14" spans="1:10">
      <c r="A14" t="s">
        <v>71</v>
      </c>
      <c r="B14" t="s">
        <v>103</v>
      </c>
      <c r="C14" t="s">
        <v>44</v>
      </c>
      <c r="D14" t="s">
        <v>43</v>
      </c>
      <c r="E14" s="78">
        <v>42676</v>
      </c>
      <c r="F14" t="s">
        <v>47</v>
      </c>
    </row>
    <row r="15" spans="1:10">
      <c r="A15" t="s">
        <v>71</v>
      </c>
      <c r="B15" t="s">
        <v>104</v>
      </c>
      <c r="C15" t="s">
        <v>44</v>
      </c>
      <c r="D15" t="s">
        <v>43</v>
      </c>
      <c r="E15" s="78">
        <v>42676</v>
      </c>
      <c r="F15" t="s">
        <v>47</v>
      </c>
      <c r="G15" t="s">
        <v>173</v>
      </c>
    </row>
    <row r="16" spans="1:10">
      <c r="A16" t="s">
        <v>71</v>
      </c>
      <c r="B16" t="s">
        <v>105</v>
      </c>
      <c r="C16" t="s">
        <v>44</v>
      </c>
      <c r="D16" t="s">
        <v>43</v>
      </c>
      <c r="E16" s="78">
        <v>42676</v>
      </c>
      <c r="F16" t="s">
        <v>70</v>
      </c>
    </row>
    <row r="17" spans="1:10">
      <c r="A17" t="s">
        <v>71</v>
      </c>
      <c r="B17" t="s">
        <v>106</v>
      </c>
      <c r="C17" t="s">
        <v>44</v>
      </c>
      <c r="D17" t="s">
        <v>43</v>
      </c>
      <c r="E17" s="78">
        <v>42676</v>
      </c>
      <c r="F17" t="s">
        <v>70</v>
      </c>
    </row>
    <row r="18" spans="1:10">
      <c r="A18" t="s">
        <v>71</v>
      </c>
      <c r="B18" t="s">
        <v>107</v>
      </c>
      <c r="C18" t="s">
        <v>44</v>
      </c>
      <c r="D18" t="s">
        <v>43</v>
      </c>
      <c r="E18" s="78">
        <v>42676</v>
      </c>
      <c r="F18" t="s">
        <v>47</v>
      </c>
    </row>
    <row r="19" spans="1:10">
      <c r="A19" t="s">
        <v>71</v>
      </c>
      <c r="B19" t="s">
        <v>110</v>
      </c>
      <c r="C19" t="s">
        <v>44</v>
      </c>
      <c r="D19" t="s">
        <v>43</v>
      </c>
      <c r="E19" s="78">
        <v>42676</v>
      </c>
      <c r="F19" t="s">
        <v>70</v>
      </c>
    </row>
    <row r="20" spans="1:10">
      <c r="A20" t="s">
        <v>71</v>
      </c>
      <c r="B20" t="s">
        <v>111</v>
      </c>
      <c r="C20" t="s">
        <v>44</v>
      </c>
      <c r="D20" t="s">
        <v>43</v>
      </c>
      <c r="E20" s="78">
        <v>42676</v>
      </c>
      <c r="F20" t="s">
        <v>47</v>
      </c>
    </row>
    <row r="21" spans="1:10">
      <c r="A21" t="s">
        <v>71</v>
      </c>
      <c r="B21" t="s">
        <v>117</v>
      </c>
      <c r="C21" t="s">
        <v>44</v>
      </c>
      <c r="D21" t="s">
        <v>43</v>
      </c>
      <c r="E21" s="78">
        <v>42676</v>
      </c>
      <c r="F21" t="s">
        <v>47</v>
      </c>
    </row>
    <row r="22" spans="1:10">
      <c r="A22" t="s">
        <v>71</v>
      </c>
      <c r="B22" t="s">
        <v>118</v>
      </c>
      <c r="C22" t="s">
        <v>44</v>
      </c>
      <c r="D22" t="s">
        <v>43</v>
      </c>
      <c r="E22" s="78">
        <v>42676</v>
      </c>
      <c r="F22" t="s">
        <v>70</v>
      </c>
    </row>
    <row r="23" spans="1:10">
      <c r="A23" t="s">
        <v>71</v>
      </c>
      <c r="B23" t="s">
        <v>125</v>
      </c>
      <c r="C23" t="s">
        <v>44</v>
      </c>
      <c r="D23" t="s">
        <v>43</v>
      </c>
      <c r="E23" s="78">
        <v>42676</v>
      </c>
      <c r="F23" t="s">
        <v>47</v>
      </c>
    </row>
    <row r="24" spans="1:10">
      <c r="A24" t="s">
        <v>71</v>
      </c>
      <c r="B24" t="s">
        <v>158</v>
      </c>
      <c r="C24" t="s">
        <v>44</v>
      </c>
      <c r="D24" t="s">
        <v>43</v>
      </c>
      <c r="E24" s="78">
        <v>42677</v>
      </c>
      <c r="F24" t="s">
        <v>47</v>
      </c>
    </row>
    <row r="25" spans="1:10">
      <c r="A25" t="s">
        <v>71</v>
      </c>
      <c r="B25" t="s">
        <v>159</v>
      </c>
      <c r="C25" t="s">
        <v>44</v>
      </c>
      <c r="D25" t="s">
        <v>43</v>
      </c>
      <c r="E25" s="78">
        <v>42677</v>
      </c>
      <c r="F25" t="s">
        <v>47</v>
      </c>
    </row>
    <row r="26" spans="1:10">
      <c r="A26" t="s">
        <v>71</v>
      </c>
      <c r="B26" t="s">
        <v>164</v>
      </c>
      <c r="C26" t="s">
        <v>44</v>
      </c>
      <c r="D26" t="s">
        <v>43</v>
      </c>
      <c r="E26" s="78">
        <v>42677</v>
      </c>
      <c r="F26" t="s">
        <v>47</v>
      </c>
    </row>
    <row r="27" spans="1:10">
      <c r="A27" t="s">
        <v>71</v>
      </c>
      <c r="B27" t="s">
        <v>164</v>
      </c>
      <c r="C27" t="s">
        <v>44</v>
      </c>
      <c r="D27" t="s">
        <v>43</v>
      </c>
      <c r="E27" s="78">
        <v>42677</v>
      </c>
      <c r="F27" t="s">
        <v>70</v>
      </c>
    </row>
    <row r="28" spans="1:10">
      <c r="A28" t="s">
        <v>71</v>
      </c>
      <c r="B28" t="s">
        <v>165</v>
      </c>
      <c r="C28" t="s">
        <v>44</v>
      </c>
      <c r="D28" t="s">
        <v>43</v>
      </c>
      <c r="E28" s="78">
        <v>42677</v>
      </c>
      <c r="F28" t="s">
        <v>48</v>
      </c>
    </row>
    <row r="29" spans="1:10">
      <c r="A29" t="s">
        <v>166</v>
      </c>
      <c r="B29" t="s">
        <v>168</v>
      </c>
      <c r="C29" t="s">
        <v>44</v>
      </c>
      <c r="D29" t="s">
        <v>43</v>
      </c>
      <c r="E29" s="78">
        <v>42677</v>
      </c>
      <c r="F29" t="s">
        <v>172</v>
      </c>
      <c r="G29" t="s">
        <v>169</v>
      </c>
    </row>
    <row r="30" spans="1:10">
      <c r="A30" t="s">
        <v>166</v>
      </c>
      <c r="B30" t="s">
        <v>171</v>
      </c>
      <c r="C30" t="s">
        <v>44</v>
      </c>
      <c r="D30" t="s">
        <v>43</v>
      </c>
      <c r="E30" s="78">
        <v>42677</v>
      </c>
      <c r="F30">
        <v>2</v>
      </c>
      <c r="G30" t="s">
        <v>170</v>
      </c>
      <c r="I30" t="s">
        <v>62</v>
      </c>
      <c r="J30" s="164" t="s">
        <v>231</v>
      </c>
    </row>
    <row r="31" spans="1:10" s="77" customFormat="1">
      <c r="A31" s="77" t="s">
        <v>187</v>
      </c>
      <c r="B31" s="77" t="s">
        <v>188</v>
      </c>
      <c r="C31" s="77" t="s">
        <v>44</v>
      </c>
      <c r="D31" s="77" t="s">
        <v>43</v>
      </c>
      <c r="E31" s="195">
        <v>42677</v>
      </c>
      <c r="F31" s="77" t="s">
        <v>189</v>
      </c>
    </row>
    <row r="32" spans="1:10" s="77" customFormat="1">
      <c r="A32" s="77" t="s">
        <v>187</v>
      </c>
      <c r="B32" s="77" t="s">
        <v>190</v>
      </c>
      <c r="C32" s="77" t="s">
        <v>44</v>
      </c>
      <c r="D32" s="77" t="s">
        <v>43</v>
      </c>
      <c r="E32" s="195">
        <v>42677</v>
      </c>
      <c r="F32" s="77" t="s">
        <v>70</v>
      </c>
    </row>
    <row r="33" spans="1:10" s="77" customFormat="1">
      <c r="A33" s="77" t="s">
        <v>215</v>
      </c>
      <c r="B33" s="77" t="s">
        <v>168</v>
      </c>
      <c r="C33" s="77" t="s">
        <v>44</v>
      </c>
      <c r="D33" s="77" t="s">
        <v>43</v>
      </c>
      <c r="E33" s="195">
        <v>42677</v>
      </c>
      <c r="F33" s="77" t="s">
        <v>172</v>
      </c>
      <c r="G33" s="77" t="s">
        <v>213</v>
      </c>
    </row>
    <row r="34" spans="1:10" s="77" customFormat="1">
      <c r="A34" s="77" t="s">
        <v>215</v>
      </c>
      <c r="B34" s="77" t="s">
        <v>212</v>
      </c>
      <c r="C34" s="77" t="s">
        <v>44</v>
      </c>
      <c r="D34" s="77" t="s">
        <v>43</v>
      </c>
      <c r="E34" s="195">
        <v>42677</v>
      </c>
      <c r="F34" s="77" t="s">
        <v>70</v>
      </c>
      <c r="G34" s="77" t="s">
        <v>214</v>
      </c>
      <c r="I34" s="77" t="s">
        <v>62</v>
      </c>
      <c r="J34" s="164" t="s">
        <v>231</v>
      </c>
    </row>
    <row r="35" spans="1:10" s="77" customFormat="1">
      <c r="A35" s="77" t="s">
        <v>220</v>
      </c>
      <c r="B35" s="77" t="s">
        <v>221</v>
      </c>
      <c r="C35" s="77" t="s">
        <v>44</v>
      </c>
      <c r="D35" s="77" t="s">
        <v>43</v>
      </c>
      <c r="E35" s="195">
        <v>42678</v>
      </c>
      <c r="F35" s="77" t="s">
        <v>70</v>
      </c>
    </row>
    <row r="36" spans="1:10" s="77" customFormat="1">
      <c r="A36" s="77" t="s">
        <v>220</v>
      </c>
      <c r="B36" s="77" t="s">
        <v>223</v>
      </c>
      <c r="C36" s="77" t="s">
        <v>44</v>
      </c>
      <c r="D36" s="77" t="s">
        <v>43</v>
      </c>
      <c r="E36" s="195">
        <v>42678</v>
      </c>
      <c r="F36" s="77" t="s">
        <v>172</v>
      </c>
      <c r="G36" s="77" t="s">
        <v>224</v>
      </c>
    </row>
    <row r="37" spans="1:10" s="77" customFormat="1">
      <c r="A37" s="77" t="s">
        <v>220</v>
      </c>
      <c r="B37" s="207" t="s">
        <v>222</v>
      </c>
      <c r="C37" s="77" t="s">
        <v>44</v>
      </c>
      <c r="D37" s="77" t="s">
        <v>43</v>
      </c>
      <c r="E37" s="195">
        <v>42681</v>
      </c>
      <c r="F37" s="77" t="s">
        <v>189</v>
      </c>
    </row>
    <row r="38" spans="1:10" s="77" customFormat="1">
      <c r="A38" s="77" t="s">
        <v>220</v>
      </c>
      <c r="B38" s="207" t="s">
        <v>226</v>
      </c>
      <c r="C38" s="77" t="s">
        <v>44</v>
      </c>
      <c r="D38" s="77" t="s">
        <v>43</v>
      </c>
      <c r="E38" s="195">
        <v>42681</v>
      </c>
      <c r="F38" s="77" t="s">
        <v>47</v>
      </c>
    </row>
    <row r="39" spans="1:10" s="77" customFormat="1">
      <c r="A39" s="77" t="s">
        <v>220</v>
      </c>
      <c r="B39" s="77" t="s">
        <v>168</v>
      </c>
      <c r="C39" s="77" t="s">
        <v>44</v>
      </c>
      <c r="D39" s="77" t="s">
        <v>43</v>
      </c>
      <c r="E39" s="195">
        <v>42681</v>
      </c>
      <c r="F39" s="77" t="s">
        <v>172</v>
      </c>
    </row>
    <row r="40" spans="1:10" s="77" customFormat="1">
      <c r="A40" s="77" t="s">
        <v>225</v>
      </c>
      <c r="B40" s="77" t="s">
        <v>212</v>
      </c>
      <c r="C40" s="77" t="s">
        <v>44</v>
      </c>
      <c r="D40" s="77" t="s">
        <v>43</v>
      </c>
      <c r="E40" s="195">
        <v>42681</v>
      </c>
      <c r="F40" s="77" t="s">
        <v>70</v>
      </c>
      <c r="G40" s="77" t="s">
        <v>230</v>
      </c>
      <c r="I40" s="77" t="s">
        <v>62</v>
      </c>
      <c r="J40" s="77" t="s">
        <v>63</v>
      </c>
    </row>
    <row r="41" spans="1:10">
      <c r="A41" t="s">
        <v>233</v>
      </c>
      <c r="B41" t="s">
        <v>234</v>
      </c>
      <c r="C41" t="s">
        <v>44</v>
      </c>
      <c r="D41" t="s">
        <v>43</v>
      </c>
      <c r="E41" s="78">
        <v>42709</v>
      </c>
      <c r="F41" t="s">
        <v>70</v>
      </c>
    </row>
    <row r="42" spans="1:10">
      <c r="A42" t="s">
        <v>233</v>
      </c>
      <c r="B42" t="s">
        <v>235</v>
      </c>
      <c r="C42" t="s">
        <v>44</v>
      </c>
      <c r="D42" t="s">
        <v>43</v>
      </c>
      <c r="E42" s="78">
        <v>42709</v>
      </c>
      <c r="F42" t="s">
        <v>70</v>
      </c>
    </row>
    <row r="43" spans="1:10">
      <c r="A43" t="s">
        <v>233</v>
      </c>
      <c r="B43" t="s">
        <v>245</v>
      </c>
      <c r="C43" t="s">
        <v>44</v>
      </c>
      <c r="D43" t="s">
        <v>43</v>
      </c>
      <c r="E43" s="78">
        <v>42742</v>
      </c>
      <c r="F43" t="s">
        <v>70</v>
      </c>
    </row>
    <row r="44" spans="1:10">
      <c r="A44" t="s">
        <v>233</v>
      </c>
      <c r="B44" t="s">
        <v>246</v>
      </c>
      <c r="C44" t="s">
        <v>44</v>
      </c>
      <c r="D44" t="s">
        <v>43</v>
      </c>
      <c r="E44" s="78">
        <v>42742</v>
      </c>
      <c r="F44" t="s">
        <v>262</v>
      </c>
    </row>
    <row r="45" spans="1:10">
      <c r="A45" t="s">
        <v>233</v>
      </c>
      <c r="B45" t="s">
        <v>247</v>
      </c>
      <c r="C45" t="s">
        <v>44</v>
      </c>
      <c r="D45" t="s">
        <v>43</v>
      </c>
      <c r="E45" s="78">
        <v>42742</v>
      </c>
      <c r="F45" t="s">
        <v>70</v>
      </c>
    </row>
    <row r="46" spans="1:10">
      <c r="A46" t="s">
        <v>248</v>
      </c>
      <c r="B46" t="s">
        <v>250</v>
      </c>
      <c r="C46" t="s">
        <v>44</v>
      </c>
      <c r="D46" t="s">
        <v>43</v>
      </c>
      <c r="E46" s="78">
        <v>42742</v>
      </c>
      <c r="F46" t="s">
        <v>70</v>
      </c>
      <c r="G46" t="s">
        <v>249</v>
      </c>
    </row>
    <row r="47" spans="1:10">
      <c r="A47" s="263" t="s">
        <v>258</v>
      </c>
      <c r="B47" s="263" t="s">
        <v>260</v>
      </c>
      <c r="C47" s="263" t="s">
        <v>44</v>
      </c>
      <c r="D47" s="263" t="s">
        <v>43</v>
      </c>
      <c r="E47" s="264">
        <v>42745</v>
      </c>
      <c r="F47" s="263" t="s">
        <v>262</v>
      </c>
      <c r="G47" s="263"/>
    </row>
    <row r="48" spans="1:10">
      <c r="A48" s="263" t="s">
        <v>258</v>
      </c>
      <c r="B48" s="263" t="s">
        <v>261</v>
      </c>
      <c r="C48" s="263" t="s">
        <v>44</v>
      </c>
      <c r="D48" s="263" t="s">
        <v>43</v>
      </c>
      <c r="E48" s="264">
        <v>42745</v>
      </c>
      <c r="F48" s="263" t="s">
        <v>262</v>
      </c>
      <c r="G48" s="263"/>
    </row>
    <row r="49" spans="1:7">
      <c r="A49" s="263" t="s">
        <v>258</v>
      </c>
      <c r="B49" s="263" t="s">
        <v>263</v>
      </c>
      <c r="C49" s="263" t="s">
        <v>44</v>
      </c>
      <c r="D49" s="263" t="s">
        <v>43</v>
      </c>
      <c r="E49" s="264">
        <v>42745</v>
      </c>
      <c r="F49" s="263" t="s">
        <v>262</v>
      </c>
      <c r="G49" s="263"/>
    </row>
    <row r="50" spans="1:7">
      <c r="A50" s="263" t="s">
        <v>258</v>
      </c>
      <c r="B50" s="263" t="s">
        <v>264</v>
      </c>
      <c r="C50" s="263" t="s">
        <v>44</v>
      </c>
      <c r="D50" s="263" t="s">
        <v>43</v>
      </c>
      <c r="E50" s="264">
        <v>42745</v>
      </c>
      <c r="F50" s="263" t="s">
        <v>70</v>
      </c>
      <c r="G50" s="263"/>
    </row>
    <row r="51" spans="1:7">
      <c r="A51" s="263" t="s">
        <v>258</v>
      </c>
      <c r="B51" s="263" t="s">
        <v>261</v>
      </c>
      <c r="C51" s="263" t="s">
        <v>44</v>
      </c>
      <c r="D51" s="263" t="s">
        <v>43</v>
      </c>
      <c r="E51" s="264">
        <v>42745</v>
      </c>
      <c r="F51" s="263" t="s">
        <v>70</v>
      </c>
      <c r="G51" s="263"/>
    </row>
    <row r="52" spans="1:7">
      <c r="A52" s="263" t="s">
        <v>258</v>
      </c>
      <c r="B52" s="263" t="s">
        <v>265</v>
      </c>
      <c r="C52" s="263" t="s">
        <v>44</v>
      </c>
      <c r="D52" s="263" t="s">
        <v>43</v>
      </c>
      <c r="E52" s="264">
        <v>42745</v>
      </c>
      <c r="F52" s="263" t="s">
        <v>70</v>
      </c>
      <c r="G52" s="263"/>
    </row>
    <row r="53" spans="1:7">
      <c r="A53" s="263" t="s">
        <v>258</v>
      </c>
      <c r="B53" s="263" t="s">
        <v>266</v>
      </c>
      <c r="C53" s="263" t="s">
        <v>44</v>
      </c>
      <c r="D53" s="263" t="s">
        <v>43</v>
      </c>
      <c r="E53" s="264">
        <v>42745</v>
      </c>
      <c r="F53" s="263" t="s">
        <v>70</v>
      </c>
      <c r="G53" s="263" t="s">
        <v>267</v>
      </c>
    </row>
    <row r="54" spans="1:7">
      <c r="A54" s="263" t="s">
        <v>258</v>
      </c>
      <c r="B54" s="263" t="s">
        <v>266</v>
      </c>
      <c r="C54" s="263" t="s">
        <v>44</v>
      </c>
      <c r="D54" s="263" t="s">
        <v>43</v>
      </c>
      <c r="E54" s="264">
        <v>42745</v>
      </c>
      <c r="F54" s="263" t="s">
        <v>262</v>
      </c>
      <c r="G54" s="263" t="s">
        <v>268</v>
      </c>
    </row>
    <row r="57" spans="1:7">
      <c r="A57" t="s">
        <v>166</v>
      </c>
      <c r="B57" s="160" t="s">
        <v>167</v>
      </c>
    </row>
    <row r="58" spans="1:7">
      <c r="B58" t="s">
        <v>160</v>
      </c>
    </row>
    <row r="59" spans="1:7">
      <c r="B59" t="s">
        <v>161</v>
      </c>
    </row>
    <row r="60" spans="1:7">
      <c r="B60" t="s">
        <v>259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DropDownMenu</vt:lpstr>
      <vt:lpstr>UValues</vt:lpstr>
      <vt:lpstr>Legend</vt:lpstr>
      <vt:lpstr>OtherStandard</vt:lpstr>
      <vt:lpstr>Revisions</vt:lpstr>
    </vt:vector>
  </TitlesOfParts>
  <Company>GreenSpec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Murphy</dc:creator>
  <cp:lastModifiedBy>Brian Murphy</cp:lastModifiedBy>
  <cp:lastPrinted>2017-01-10T15:36:33Z</cp:lastPrinted>
  <dcterms:created xsi:type="dcterms:W3CDTF">2015-08-27T12:52:34Z</dcterms:created>
  <dcterms:modified xsi:type="dcterms:W3CDTF">2017-01-10T15:37:09Z</dcterms:modified>
</cp:coreProperties>
</file>